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2.xml" ContentType="application/vnd.ms-office.chartcolorsty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105" yWindow="-105" windowWidth="28995" windowHeight="15795"/>
  </bookViews>
  <sheets>
    <sheet name="Presentación" sheetId="1" r:id="rId1"/>
    <sheet name="Huella Minima" sheetId="2" r:id="rId2"/>
    <sheet name="Huella Completa" sheetId="6" r:id="rId3"/>
    <sheet name="Resultados" sheetId="9" r:id="rId4"/>
    <sheet name="Datos_presupuesto" sheetId="3" r:id="rId5"/>
    <sheet name="Calculos 1" sheetId="5" r:id="rId6"/>
    <sheet name="Calculos 2" sheetId="7" r:id="rId7"/>
    <sheet name="Factores de emision" sheetId="4" r:id="rId8"/>
  </sheets>
  <definedNames>
    <definedName name="Autobús">'Factores de emision'!$D$12</definedName>
    <definedName name="Avión">'Factores de emision'!$D$6</definedName>
    <definedName name="comida">'Factores de emision'!$D$67</definedName>
    <definedName name="comidavegetariana">'Factores de emision'!$D$69</definedName>
    <definedName name="compensacion">'Calculos 2'!$T$2</definedName>
    <definedName name="compensacion_hm">'Calculos 2'!$V$2</definedName>
    <definedName name="consumoagua">'Factores de emision'!$D$117</definedName>
    <definedName name="Diesel">'Factores de emision'!$D$14</definedName>
    <definedName name="edsonido">'Factores de emision'!$D$110</definedName>
    <definedName name="edvideo">'Factores de emision'!$D$109</definedName>
    <definedName name="efectesp">'Factores de emision'!$D$112</definedName>
    <definedName name="efesp">'Factores de emision'!$C$112</definedName>
    <definedName name="Elec_hotel1">'Huella Completa'!$D$53</definedName>
    <definedName name="Elec_hotel2">'Huella Completa'!$D$106</definedName>
    <definedName name="emi_04.01">'Calculos 1'!$F$10</definedName>
    <definedName name="emi_04.02">'Calculos 1'!$F$18</definedName>
    <definedName name="emi_04.03">'Calculos 1'!$F$25</definedName>
    <definedName name="emi_05.03">'Calculos 1'!$F$38</definedName>
    <definedName name="emi_06.01">'Calculos 1'!$F$62</definedName>
    <definedName name="Foley">'Factores de emision'!$D$111</definedName>
    <definedName name="Gasolina">'Factores de emision'!$D$15</definedName>
    <definedName name="GLP">'Factores de emision'!$D$17</definedName>
    <definedName name="Hotel">'Factores de emision'!$D$66</definedName>
    <definedName name="lab">'Factores de emision'!$D$113</definedName>
    <definedName name="mixelectrico">'Factores de emision'!$D$5</definedName>
    <definedName name="pre_vehiculo">'Huella Completa'!$D$23</definedName>
    <definedName name="pre_vehiculo_comp">'Huella Completa'!$D$22</definedName>
    <definedName name="presupuesto">'Huella Completa'!$C$7</definedName>
    <definedName name="pro_cate_loc">'Huella Completa'!$D$123</definedName>
    <definedName name="pro_cate_veg">'Huella Completa'!$D$122</definedName>
    <definedName name="pro_con_agua">'Huella Completa'!$D$189</definedName>
    <definedName name="pro_distancia">'Huella Completa'!$D$105</definedName>
    <definedName name="pro_gen_ele">'Huella Completa'!$D$140</definedName>
    <definedName name="pro_ilu_efi">'Huella Completa'!$C$164</definedName>
    <definedName name="pro_vehiculo">'Huella Completa'!$D$74</definedName>
    <definedName name="pro_vehiculo_comp">'Huella Completa'!$D$73</definedName>
    <definedName name="productos_locales">'Factores de emision'!$D$68</definedName>
    <definedName name="Titulo">'Huella Completa'!$C$6</definedName>
    <definedName name="Tren">'Factores de emision'!$D$11</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7"/>
  <c r="D68" i="4"/>
  <c r="B335" i="7"/>
  <c r="B337"/>
  <c r="B339"/>
  <c r="B341"/>
  <c r="B343"/>
  <c r="B345"/>
  <c r="B347"/>
  <c r="B349"/>
  <c r="B351"/>
  <c r="B353"/>
  <c r="B355"/>
  <c r="B357"/>
  <c r="B359"/>
  <c r="B361"/>
  <c r="B363"/>
  <c r="B365"/>
  <c r="B367"/>
  <c r="B369"/>
  <c r="B371"/>
  <c r="B373"/>
  <c r="B375"/>
  <c r="B377"/>
  <c r="B379"/>
  <c r="B381"/>
  <c r="B383"/>
  <c r="B385"/>
  <c r="B387"/>
  <c r="B389"/>
  <c r="B391"/>
  <c r="B393"/>
  <c r="B395"/>
  <c r="B397"/>
  <c r="B399"/>
  <c r="B401"/>
  <c r="B403"/>
  <c r="B405"/>
  <c r="B407"/>
  <c r="B409"/>
  <c r="B411"/>
  <c r="B413"/>
  <c r="B415"/>
  <c r="B417"/>
  <c r="B419"/>
  <c r="B421"/>
  <c r="B423"/>
  <c r="B425"/>
  <c r="B427"/>
  <c r="B429"/>
  <c r="B431"/>
  <c r="B433"/>
  <c r="B430"/>
  <c r="B334"/>
  <c r="B336"/>
  <c r="B338"/>
  <c r="B340"/>
  <c r="B342"/>
  <c r="B344"/>
  <c r="B346"/>
  <c r="B348"/>
  <c r="B350"/>
  <c r="B352"/>
  <c r="B354"/>
  <c r="B356"/>
  <c r="B358"/>
  <c r="B360"/>
  <c r="B362"/>
  <c r="B364"/>
  <c r="B366"/>
  <c r="B368"/>
  <c r="B370"/>
  <c r="B372"/>
  <c r="B374"/>
  <c r="B376"/>
  <c r="B378"/>
  <c r="B380"/>
  <c r="B382"/>
  <c r="B384"/>
  <c r="B386"/>
  <c r="B388"/>
  <c r="B390"/>
  <c r="B392"/>
  <c r="B394"/>
  <c r="B396"/>
  <c r="B398"/>
  <c r="B400"/>
  <c r="B402"/>
  <c r="B404"/>
  <c r="B406"/>
  <c r="B408"/>
  <c r="B410"/>
  <c r="B412"/>
  <c r="B414"/>
  <c r="B416"/>
  <c r="B418"/>
  <c r="B420"/>
  <c r="B422"/>
  <c r="B424"/>
  <c r="B426"/>
  <c r="B428"/>
  <c r="B432"/>
  <c r="B66"/>
  <c r="E34" l="1"/>
  <c r="C99" i="9" s="1"/>
  <c r="B571" i="7"/>
  <c r="B572"/>
  <c r="B573"/>
  <c r="B574"/>
  <c r="B575"/>
  <c r="B576"/>
  <c r="B577"/>
  <c r="B578"/>
  <c r="B579"/>
  <c r="B580"/>
  <c r="B581"/>
  <c r="B582"/>
  <c r="B583"/>
  <c r="B584"/>
  <c r="B585"/>
  <c r="B586"/>
  <c r="B587"/>
  <c r="B588"/>
  <c r="B589"/>
  <c r="B590"/>
  <c r="B591"/>
  <c r="B592"/>
  <c r="B593"/>
  <c r="B594"/>
  <c r="B595"/>
  <c r="B596"/>
  <c r="B597"/>
  <c r="B598"/>
  <c r="B599"/>
  <c r="B570"/>
  <c r="B608"/>
  <c r="B607"/>
  <c r="B606"/>
  <c r="B605"/>
  <c r="B604"/>
  <c r="C96" i="9" l="1"/>
  <c r="C92"/>
  <c r="E29" i="7"/>
  <c r="C88" i="9" s="1"/>
  <c r="C85"/>
  <c r="E27" i="7"/>
  <c r="C81" i="9" s="1"/>
  <c r="E26" i="7"/>
  <c r="C78" i="9" s="1"/>
  <c r="E25" i="7"/>
  <c r="D68" i="9"/>
  <c r="C634" i="7"/>
  <c r="J4" l="1"/>
  <c r="N7"/>
  <c r="N8"/>
  <c r="N6"/>
  <c r="O6"/>
  <c r="P6"/>
  <c r="Q6"/>
  <c r="O7"/>
  <c r="P7"/>
  <c r="Q7"/>
  <c r="O8"/>
  <c r="P8"/>
  <c r="Q5"/>
  <c r="P5"/>
  <c r="O5"/>
  <c r="C77" i="9"/>
  <c r="E24" i="7"/>
  <c r="C73" i="9" s="1"/>
  <c r="E23" i="7"/>
  <c r="C72" i="9" s="1"/>
  <c r="E21" i="7"/>
  <c r="C64" i="9" s="1"/>
  <c r="D51"/>
  <c r="E19" i="7"/>
  <c r="C55" i="9" s="1"/>
  <c r="E17" i="7"/>
  <c r="C47" i="9" s="1"/>
  <c r="Q8" i="7"/>
  <c r="B22"/>
  <c r="B23"/>
  <c r="B24"/>
  <c r="B25"/>
  <c r="B26"/>
  <c r="B27"/>
  <c r="B28"/>
  <c r="B29"/>
  <c r="B30"/>
  <c r="B31"/>
  <c r="B12"/>
  <c r="B13"/>
  <c r="B14"/>
  <c r="B15"/>
  <c r="B16"/>
  <c r="B17"/>
  <c r="B18"/>
  <c r="B19"/>
  <c r="B20"/>
  <c r="B21"/>
  <c r="R7" l="1"/>
  <c r="R6"/>
  <c r="P9"/>
  <c r="P2" s="1"/>
  <c r="R8"/>
  <c r="D110" i="4"/>
  <c r="D111"/>
  <c r="D112"/>
  <c r="D113"/>
  <c r="D109"/>
  <c r="D6" l="1"/>
  <c r="C600" i="7"/>
  <c r="K4" l="1"/>
  <c r="L20" i="9" s="1"/>
  <c r="B539" i="7"/>
  <c r="B540"/>
  <c r="B541"/>
  <c r="B542"/>
  <c r="B543"/>
  <c r="B544"/>
  <c r="B545"/>
  <c r="B546"/>
  <c r="B547"/>
  <c r="B548"/>
  <c r="B549"/>
  <c r="B550"/>
  <c r="B551"/>
  <c r="B552"/>
  <c r="B553"/>
  <c r="B554"/>
  <c r="B555"/>
  <c r="B556"/>
  <c r="B557"/>
  <c r="B558"/>
  <c r="B559"/>
  <c r="B560"/>
  <c r="B561"/>
  <c r="B562"/>
  <c r="B563"/>
  <c r="B564"/>
  <c r="B565"/>
  <c r="B566"/>
  <c r="B567"/>
  <c r="B538"/>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529"/>
  <c r="B530"/>
  <c r="B531"/>
  <c r="B532"/>
  <c r="B533"/>
  <c r="B534"/>
  <c r="B535"/>
  <c r="B436"/>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99"/>
  <c r="B100"/>
  <c r="B101"/>
  <c r="B102"/>
  <c r="B103"/>
  <c r="B104"/>
  <c r="B105"/>
  <c r="B106"/>
  <c r="B107"/>
  <c r="B108"/>
  <c r="B109"/>
  <c r="B110"/>
  <c r="B111"/>
  <c r="B112"/>
  <c r="B113"/>
  <c r="B114"/>
  <c r="B115"/>
  <c r="B116"/>
  <c r="B117"/>
  <c r="B118"/>
  <c r="B119"/>
  <c r="B120"/>
  <c r="B121"/>
  <c r="B122"/>
  <c r="B123"/>
  <c r="B124"/>
  <c r="B125"/>
  <c r="B126"/>
  <c r="B127"/>
  <c r="B98"/>
  <c r="B3"/>
  <c r="B4"/>
  <c r="B5"/>
  <c r="B6"/>
  <c r="B7"/>
  <c r="B8"/>
  <c r="B9"/>
  <c r="B10"/>
  <c r="B11"/>
  <c r="B2"/>
  <c r="D52" i="4"/>
  <c r="D53"/>
  <c r="D54"/>
  <c r="D55"/>
  <c r="D56"/>
  <c r="D57"/>
  <c r="D58"/>
  <c r="D59"/>
  <c r="D60"/>
  <c r="D61"/>
  <c r="D62"/>
  <c r="D63"/>
  <c r="D64"/>
  <c r="D65"/>
  <c r="D66"/>
  <c r="D67"/>
  <c r="D69"/>
  <c r="D51"/>
  <c r="B35" i="7"/>
  <c r="B36"/>
  <c r="B37"/>
  <c r="B38"/>
  <c r="B39"/>
  <c r="B40"/>
  <c r="B41"/>
  <c r="B42"/>
  <c r="B43"/>
  <c r="B44"/>
  <c r="B45"/>
  <c r="B46"/>
  <c r="B47"/>
  <c r="B48"/>
  <c r="B49"/>
  <c r="B50"/>
  <c r="B51"/>
  <c r="B52"/>
  <c r="B53"/>
  <c r="B54"/>
  <c r="B55"/>
  <c r="B56"/>
  <c r="B57"/>
  <c r="B58"/>
  <c r="B59"/>
  <c r="B60"/>
  <c r="B61"/>
  <c r="B62"/>
  <c r="B63"/>
  <c r="B77"/>
  <c r="B235"/>
  <c r="B144" i="5" l="1"/>
  <c r="B145"/>
  <c r="B146"/>
  <c r="B147"/>
  <c r="B148"/>
  <c r="B149"/>
  <c r="B150"/>
  <c r="B151"/>
  <c r="B152"/>
  <c r="B153"/>
  <c r="B154"/>
  <c r="B155"/>
  <c r="B156"/>
  <c r="B157"/>
  <c r="B158"/>
  <c r="B159"/>
  <c r="B160"/>
  <c r="B161"/>
  <c r="B162"/>
  <c r="B163"/>
  <c r="B164"/>
  <c r="B165"/>
  <c r="B166"/>
  <c r="B167"/>
  <c r="B168"/>
  <c r="B169"/>
  <c r="B170"/>
  <c r="B171"/>
  <c r="B172"/>
  <c r="B173"/>
  <c r="B87"/>
  <c r="B88"/>
  <c r="B89"/>
  <c r="B90"/>
  <c r="B91"/>
  <c r="B92"/>
  <c r="B93"/>
  <c r="B94"/>
  <c r="B95"/>
  <c r="B96"/>
  <c r="B97"/>
  <c r="B98"/>
  <c r="B99"/>
  <c r="B100"/>
  <c r="B101"/>
  <c r="B102"/>
  <c r="B103"/>
  <c r="B104"/>
  <c r="B105"/>
  <c r="B106"/>
  <c r="B108"/>
  <c r="B109"/>
  <c r="B110"/>
  <c r="B111"/>
  <c r="B112"/>
  <c r="B113"/>
  <c r="B114"/>
  <c r="B115"/>
  <c r="B116"/>
  <c r="B117"/>
  <c r="B118"/>
  <c r="B119"/>
  <c r="B120"/>
  <c r="B121"/>
  <c r="B122"/>
  <c r="B123"/>
  <c r="B124"/>
  <c r="B125"/>
  <c r="B126"/>
  <c r="B127"/>
  <c r="B128"/>
  <c r="B129"/>
  <c r="B130"/>
  <c r="B131"/>
  <c r="B133"/>
  <c r="B134"/>
  <c r="B135"/>
  <c r="B136"/>
  <c r="B137"/>
  <c r="B138"/>
  <c r="B139"/>
  <c r="B140"/>
  <c r="B141"/>
  <c r="B142"/>
  <c r="B65"/>
  <c r="B66"/>
  <c r="B67"/>
  <c r="B68"/>
  <c r="B69"/>
  <c r="B70"/>
  <c r="B71"/>
  <c r="B72"/>
  <c r="B73"/>
  <c r="B74"/>
  <c r="B75"/>
  <c r="B76"/>
  <c r="B77"/>
  <c r="B78"/>
  <c r="B79"/>
  <c r="B80"/>
  <c r="B81"/>
  <c r="B82"/>
  <c r="B83"/>
  <c r="B84"/>
  <c r="B85"/>
  <c r="B64"/>
  <c r="B84" i="7"/>
  <c r="B244"/>
  <c r="B300"/>
  <c r="B76"/>
  <c r="B93"/>
  <c r="B276"/>
  <c r="B268"/>
  <c r="B68"/>
  <c r="B260"/>
  <c r="B69"/>
  <c r="B67"/>
  <c r="B252"/>
  <c r="C64"/>
  <c r="C434"/>
  <c r="C568"/>
  <c r="B330"/>
  <c r="B314"/>
  <c r="B298"/>
  <c r="B282"/>
  <c r="B266"/>
  <c r="B250"/>
  <c r="B234"/>
  <c r="B305"/>
  <c r="B265"/>
  <c r="B241"/>
  <c r="B90"/>
  <c r="B329"/>
  <c r="B297"/>
  <c r="B257"/>
  <c r="B81"/>
  <c r="B328"/>
  <c r="B312"/>
  <c r="B296"/>
  <c r="B280"/>
  <c r="B264"/>
  <c r="B248"/>
  <c r="B82"/>
  <c r="B88"/>
  <c r="B72"/>
  <c r="B319"/>
  <c r="B303"/>
  <c r="B287"/>
  <c r="B271"/>
  <c r="B255"/>
  <c r="B239"/>
  <c r="B87"/>
  <c r="B71"/>
  <c r="B318"/>
  <c r="B302"/>
  <c r="B286"/>
  <c r="B270"/>
  <c r="B254"/>
  <c r="B238"/>
  <c r="B86"/>
  <c r="B70"/>
  <c r="B317"/>
  <c r="B301"/>
  <c r="B285"/>
  <c r="B269"/>
  <c r="B253"/>
  <c r="B237"/>
  <c r="B323"/>
  <c r="B307"/>
  <c r="B291"/>
  <c r="B275"/>
  <c r="B259"/>
  <c r="B243"/>
  <c r="B292"/>
  <c r="B308"/>
  <c r="B83"/>
  <c r="B236"/>
  <c r="B284"/>
  <c r="B75"/>
  <c r="B232"/>
  <c r="B91"/>
  <c r="B324"/>
  <c r="B92"/>
  <c r="B85"/>
  <c r="B316"/>
  <c r="C32"/>
  <c r="C230"/>
  <c r="C536"/>
  <c r="C128"/>
  <c r="B322"/>
  <c r="B306"/>
  <c r="B290"/>
  <c r="B274"/>
  <c r="B258"/>
  <c r="B242"/>
  <c r="B321"/>
  <c r="B281"/>
  <c r="B249"/>
  <c r="B233"/>
  <c r="B74"/>
  <c r="B313"/>
  <c r="B273"/>
  <c r="B89"/>
  <c r="B73"/>
  <c r="B320"/>
  <c r="B304"/>
  <c r="B288"/>
  <c r="B272"/>
  <c r="B256"/>
  <c r="B240"/>
  <c r="B289"/>
  <c r="B80"/>
  <c r="B327"/>
  <c r="B311"/>
  <c r="B295"/>
  <c r="B279"/>
  <c r="B263"/>
  <c r="B247"/>
  <c r="B95"/>
  <c r="B79"/>
  <c r="B326"/>
  <c r="B310"/>
  <c r="B294"/>
  <c r="B278"/>
  <c r="B262"/>
  <c r="B246"/>
  <c r="B94"/>
  <c r="B78"/>
  <c r="B325"/>
  <c r="B309"/>
  <c r="B293"/>
  <c r="B277"/>
  <c r="B261"/>
  <c r="B245"/>
  <c r="B331"/>
  <c r="B315"/>
  <c r="B299"/>
  <c r="B283"/>
  <c r="B267"/>
  <c r="B251"/>
  <c r="C332"/>
  <c r="C96"/>
  <c r="B1020"/>
  <c r="F4" l="1"/>
  <c r="G4" s="1"/>
  <c r="D20" i="9" s="1"/>
  <c r="F2" i="7"/>
  <c r="G2" s="1"/>
  <c r="D18" i="9" s="1"/>
  <c r="F5" i="7"/>
  <c r="G5" s="1"/>
  <c r="D21" i="9" s="1"/>
  <c r="F3" i="7"/>
  <c r="G3" s="1"/>
  <c r="D19" i="9" s="1"/>
  <c r="B39" i="5"/>
  <c r="B40"/>
  <c r="B41"/>
  <c r="B42"/>
  <c r="B43"/>
  <c r="B44"/>
  <c r="B45"/>
  <c r="B46"/>
  <c r="B47"/>
  <c r="B48"/>
  <c r="B49"/>
  <c r="B50"/>
  <c r="B51"/>
  <c r="B52"/>
  <c r="B53"/>
  <c r="B54"/>
  <c r="B55"/>
  <c r="B56"/>
  <c r="B57"/>
  <c r="B58"/>
  <c r="B59"/>
  <c r="B60"/>
  <c r="B61"/>
  <c r="B27"/>
  <c r="B28"/>
  <c r="B29"/>
  <c r="B30"/>
  <c r="B31"/>
  <c r="B32"/>
  <c r="B33"/>
  <c r="B34"/>
  <c r="B35"/>
  <c r="B36"/>
  <c r="B37"/>
  <c r="B20"/>
  <c r="B21"/>
  <c r="B22"/>
  <c r="B23"/>
  <c r="B24"/>
  <c r="B25"/>
  <c r="B15"/>
  <c r="B16"/>
  <c r="B17"/>
  <c r="B18"/>
  <c r="B12"/>
  <c r="B13"/>
  <c r="B9"/>
  <c r="B10"/>
  <c r="B3"/>
  <c r="B4"/>
  <c r="B5"/>
  <c r="B6"/>
  <c r="B7"/>
  <c r="B2"/>
  <c r="D98" i="4"/>
  <c r="D95"/>
  <c r="D96"/>
  <c r="D97"/>
  <c r="D94"/>
  <c r="D91"/>
  <c r="D72"/>
  <c r="D74"/>
  <c r="D75"/>
  <c r="D76"/>
  <c r="D77"/>
  <c r="D78"/>
  <c r="D79"/>
  <c r="D80"/>
  <c r="D81"/>
  <c r="D82"/>
  <c r="D83"/>
  <c r="D84"/>
  <c r="D85"/>
  <c r="D86"/>
  <c r="D87"/>
  <c r="D88"/>
  <c r="D89"/>
  <c r="D90"/>
  <c r="D73"/>
  <c r="C38" i="5" l="1"/>
  <c r="F38" s="1"/>
  <c r="C62"/>
  <c r="F62" s="1"/>
  <c r="C18"/>
  <c r="F18" s="1"/>
  <c r="C7"/>
  <c r="C13"/>
  <c r="C25"/>
  <c r="F25" s="1"/>
  <c r="C10"/>
  <c r="F10" l="1"/>
  <c r="J3" i="7"/>
  <c r="F7"/>
  <c r="C251" i="5"/>
  <c r="J2" i="7"/>
  <c r="K2" l="1"/>
  <c r="L18" i="9" s="1"/>
  <c r="G7" i="7"/>
  <c r="D23" i="9" s="1"/>
  <c r="K3" i="7"/>
  <c r="L19" i="9" s="1"/>
  <c r="B8" i="2"/>
  <c r="M2" i="7" s="1"/>
  <c r="N2" s="1"/>
  <c r="B12" i="9" s="1"/>
  <c r="U2" i="7"/>
  <c r="V2" s="1"/>
  <c r="A13" i="2" s="1"/>
  <c r="F6" i="7"/>
  <c r="G6" l="1"/>
  <c r="D22" i="9" s="1"/>
  <c r="Q2" i="7"/>
  <c r="F38" i="9" s="1"/>
  <c r="O2" i="7"/>
  <c r="T8" s="1"/>
  <c r="T2"/>
  <c r="B33" i="9" s="1"/>
  <c r="S6" i="7" l="1"/>
  <c r="S8"/>
  <c r="S7"/>
  <c r="T7"/>
  <c r="T6"/>
  <c r="F37" i="9"/>
  <c r="S9" i="7" l="1"/>
  <c r="T9"/>
</calcChain>
</file>

<file path=xl/sharedStrings.xml><?xml version="1.0" encoding="utf-8"?>
<sst xmlns="http://schemas.openxmlformats.org/spreadsheetml/2006/main" count="1542" uniqueCount="1144">
  <si>
    <t>02.08.06</t>
  </si>
  <si>
    <t>04.01.01</t>
  </si>
  <si>
    <t>04.01.02</t>
  </si>
  <si>
    <t>04.01.03</t>
  </si>
  <si>
    <t>04.01.04</t>
  </si>
  <si>
    <t>04.01.05</t>
  </si>
  <si>
    <t>04.01.06</t>
  </si>
  <si>
    <t>04.01.07</t>
  </si>
  <si>
    <t>04.01.08</t>
  </si>
  <si>
    <t>04.02.01</t>
  </si>
  <si>
    <t>04.02.02</t>
  </si>
  <si>
    <t>04.02.03</t>
  </si>
  <si>
    <t>04.02.05</t>
  </si>
  <si>
    <t>04.02.06</t>
  </si>
  <si>
    <t>04.03.01</t>
  </si>
  <si>
    <t>04.03.02</t>
  </si>
  <si>
    <t>04.03.03</t>
  </si>
  <si>
    <t>04.03.04</t>
  </si>
  <si>
    <t>04.03.05</t>
  </si>
  <si>
    <t>04.03.06</t>
  </si>
  <si>
    <t>05.03.01</t>
  </si>
  <si>
    <t>05.03.02</t>
  </si>
  <si>
    <t>05.03.03</t>
  </si>
  <si>
    <t>05.03.04</t>
  </si>
  <si>
    <t>05.03.05</t>
  </si>
  <si>
    <t>05.03.06</t>
  </si>
  <si>
    <t>05.03.07</t>
  </si>
  <si>
    <t>05.03.08</t>
  </si>
  <si>
    <t>05.03.09</t>
  </si>
  <si>
    <t>05.03.10</t>
  </si>
  <si>
    <t>05.03.11</t>
  </si>
  <si>
    <t>06.01.01</t>
  </si>
  <si>
    <t>06.01.02</t>
  </si>
  <si>
    <t>06.01.03</t>
  </si>
  <si>
    <t>06.01.04</t>
  </si>
  <si>
    <t>06.01.05</t>
  </si>
  <si>
    <t>06.01.06</t>
  </si>
  <si>
    <t>06.01.07</t>
  </si>
  <si>
    <t>06.01.08</t>
  </si>
  <si>
    <t>06.01.09</t>
  </si>
  <si>
    <t>06.01.10</t>
  </si>
  <si>
    <t>06.01.11</t>
  </si>
  <si>
    <t>06.01.12</t>
  </si>
  <si>
    <t>06.01.13</t>
  </si>
  <si>
    <t>06.01.14</t>
  </si>
  <si>
    <t>06.01.15</t>
  </si>
  <si>
    <t>06.01.16</t>
  </si>
  <si>
    <t>06.01.17</t>
  </si>
  <si>
    <t>06.01.18</t>
  </si>
  <si>
    <t>06.01.20</t>
  </si>
  <si>
    <t>06.01.21</t>
  </si>
  <si>
    <t>06.01.22</t>
  </si>
  <si>
    <t>06.01.23</t>
  </si>
  <si>
    <t>06.02.01</t>
  </si>
  <si>
    <t>06.02.02</t>
  </si>
  <si>
    <t>06.02.03</t>
  </si>
  <si>
    <t>06.02.04</t>
  </si>
  <si>
    <t>06.02.05</t>
  </si>
  <si>
    <t>06.02.06</t>
  </si>
  <si>
    <t>06.02.07</t>
  </si>
  <si>
    <t>06.02.08</t>
  </si>
  <si>
    <t>06.02.09</t>
  </si>
  <si>
    <t>06.02.10</t>
  </si>
  <si>
    <t>06.02.11</t>
  </si>
  <si>
    <t>06.02.12</t>
  </si>
  <si>
    <t>06.02.13</t>
  </si>
  <si>
    <t>06.02.14</t>
  </si>
  <si>
    <t>06.02.15</t>
  </si>
  <si>
    <t>06.02.16</t>
  </si>
  <si>
    <t>06.02.17</t>
  </si>
  <si>
    <t>06.02.18</t>
  </si>
  <si>
    <t>06.02.19</t>
  </si>
  <si>
    <t>06.02.20</t>
  </si>
  <si>
    <t>06.02.21</t>
  </si>
  <si>
    <t>06.02.22</t>
  </si>
  <si>
    <t>07.01.01</t>
  </si>
  <si>
    <t>07.01.02</t>
  </si>
  <si>
    <t>07.01.03</t>
  </si>
  <si>
    <t>07.01.04</t>
  </si>
  <si>
    <t>07.01.05</t>
  </si>
  <si>
    <t>07.02.01</t>
  </si>
  <si>
    <t>07.02.02</t>
  </si>
  <si>
    <t>07.02.03</t>
  </si>
  <si>
    <t>07.02.04</t>
  </si>
  <si>
    <t>07.04.01</t>
  </si>
  <si>
    <t>07.04.02</t>
  </si>
  <si>
    <t>07.04.03</t>
  </si>
  <si>
    <t>07.04.04</t>
  </si>
  <si>
    <t>11.01.01</t>
  </si>
  <si>
    <t>11.01.02</t>
  </si>
  <si>
    <t>11.01.03</t>
  </si>
  <si>
    <t>11.01.04</t>
  </si>
  <si>
    <t>11.01.05</t>
  </si>
  <si>
    <t>11.01.06</t>
  </si>
  <si>
    <t>11.01.07</t>
  </si>
  <si>
    <t>11.01.08</t>
  </si>
  <si>
    <t>11.01.09</t>
  </si>
  <si>
    <t>11.01.10</t>
  </si>
  <si>
    <t>Huella Mínima</t>
  </si>
  <si>
    <t>FUENTE DE EMISIÓN</t>
  </si>
  <si>
    <t>Valor (Uds.)</t>
  </si>
  <si>
    <t>Combustión fija</t>
  </si>
  <si>
    <t>Gas natural</t>
  </si>
  <si>
    <t>Gasóleo C</t>
  </si>
  <si>
    <t>Electricidad</t>
  </si>
  <si>
    <t>Mix eléctrico español sin GdO, 2015</t>
  </si>
  <si>
    <t>Transporte</t>
  </si>
  <si>
    <t>Avión pasajeros</t>
  </si>
  <si>
    <t>Buques</t>
  </si>
  <si>
    <t>Gasolina</t>
  </si>
  <si>
    <t>Gasoil</t>
  </si>
  <si>
    <t>Aeronaves</t>
  </si>
  <si>
    <t>Queroseno</t>
  </si>
  <si>
    <t>Tren</t>
  </si>
  <si>
    <t>Autobús</t>
  </si>
  <si>
    <t>Moto</t>
  </si>
  <si>
    <t>Coches según combustible</t>
  </si>
  <si>
    <t>E10</t>
  </si>
  <si>
    <t>B30</t>
  </si>
  <si>
    <t>Coche genérico (Tr. interno)</t>
  </si>
  <si>
    <t>Residuos</t>
  </si>
  <si>
    <t>TIPO</t>
  </si>
  <si>
    <t>Transporte + Tratamiento</t>
  </si>
  <si>
    <t>Papel y cartón</t>
  </si>
  <si>
    <t>Vidrio</t>
  </si>
  <si>
    <t>Envases</t>
  </si>
  <si>
    <t>Madera</t>
  </si>
  <si>
    <t>R.S.U. y escombro</t>
  </si>
  <si>
    <t>Nombre</t>
  </si>
  <si>
    <t>FE DIRECTO (kg CO2 /€)</t>
  </si>
  <si>
    <t>Obras</t>
  </si>
  <si>
    <t>0,011</t>
  </si>
  <si>
    <t>Estudios y proyectos</t>
  </si>
  <si>
    <t>0,001</t>
  </si>
  <si>
    <t>Limpieza y seguridad</t>
  </si>
  <si>
    <t>0,007</t>
  </si>
  <si>
    <t>Transportes no incluidos en alcance 1</t>
  </si>
  <si>
    <t>0,388</t>
  </si>
  <si>
    <t>Otros suministros</t>
  </si>
  <si>
    <t>0,03</t>
  </si>
  <si>
    <t>Edición</t>
  </si>
  <si>
    <t>0,004</t>
  </si>
  <si>
    <t>Jurídicos</t>
  </si>
  <si>
    <t>Mudanzas</t>
  </si>
  <si>
    <t>Actividades de agencias de viaje</t>
  </si>
  <si>
    <t>Publicidad y propaganda</t>
  </si>
  <si>
    <t>Suministro maquinaria</t>
  </si>
  <si>
    <t>0,024</t>
  </si>
  <si>
    <t>Reparación de vehículos</t>
  </si>
  <si>
    <t>0,026</t>
  </si>
  <si>
    <t>Mensajería</t>
  </si>
  <si>
    <t>0,049</t>
  </si>
  <si>
    <t>Suministro material electrónico</t>
  </si>
  <si>
    <t>0,036</t>
  </si>
  <si>
    <t>Vestuario</t>
  </si>
  <si>
    <t>0,032</t>
  </si>
  <si>
    <t>Servicios telecomunicaciones</t>
  </si>
  <si>
    <t>0,005</t>
  </si>
  <si>
    <t>Productos farmacéuticos</t>
  </si>
  <si>
    <t>0,006</t>
  </si>
  <si>
    <t>Reuniones / conferencias</t>
  </si>
  <si>
    <t>Suministro de agua</t>
  </si>
  <si>
    <t>0,014</t>
  </si>
  <si>
    <t>Hostelería</t>
  </si>
  <si>
    <t>kgCO2/kWh</t>
  </si>
  <si>
    <t>kCO2/l</t>
  </si>
  <si>
    <t>kgCO2/l</t>
  </si>
  <si>
    <t>Combustible</t>
  </si>
  <si>
    <t>Diesel</t>
  </si>
  <si>
    <t>0,00241555</t>
  </si>
  <si>
    <t>TonCO2/l</t>
  </si>
  <si>
    <t>0,00014358</t>
  </si>
  <si>
    <t>TonCO2/km</t>
  </si>
  <si>
    <t>GLP</t>
  </si>
  <si>
    <t>0,00160947</t>
  </si>
  <si>
    <t>0,00015295</t>
  </si>
  <si>
    <t>electricidad</t>
  </si>
  <si>
    <t>0,00040000</t>
  </si>
  <si>
    <t>TonCO2/kWh</t>
  </si>
  <si>
    <t>gas natural</t>
  </si>
  <si>
    <t>0,00020088</t>
  </si>
  <si>
    <t>combustible ligero</t>
  </si>
  <si>
    <t>0,00026388</t>
  </si>
  <si>
    <t>camion</t>
  </si>
  <si>
    <t>0,00101000</t>
  </si>
  <si>
    <t>avión</t>
  </si>
  <si>
    <t>0,00104000</t>
  </si>
  <si>
    <t>bote</t>
  </si>
  <si>
    <t>0,00006000</t>
  </si>
  <si>
    <t>trein</t>
  </si>
  <si>
    <t>0,00002700</t>
  </si>
  <si>
    <t>minibus</t>
  </si>
  <si>
    <t>0,00021000</t>
  </si>
  <si>
    <t>carga ligera</t>
  </si>
  <si>
    <t>Transporte público</t>
  </si>
  <si>
    <t>0,00006500</t>
  </si>
  <si>
    <t>personas en avión</t>
  </si>
  <si>
    <t>0,00027000</t>
  </si>
  <si>
    <t>Alojamiento y comidas</t>
  </si>
  <si>
    <t>noche en el hotel</t>
  </si>
  <si>
    <t>0,01200000</t>
  </si>
  <si>
    <t>TonCO2/noche</t>
  </si>
  <si>
    <t>comida</t>
  </si>
  <si>
    <t>0,00143000</t>
  </si>
  <si>
    <t>TonCO2/comida</t>
  </si>
  <si>
    <t>comida vegetariana</t>
  </si>
  <si>
    <t>0,00085800</t>
  </si>
  <si>
    <t>kgCO2/TJ</t>
  </si>
  <si>
    <t>kgCO2/km.per</t>
  </si>
  <si>
    <t>kgCO2/km</t>
  </si>
  <si>
    <t>kgCO2/kg</t>
  </si>
  <si>
    <t>kgCO2 /k</t>
  </si>
  <si>
    <t>kg CO2 /€</t>
  </si>
  <si>
    <t>0,253</t>
  </si>
  <si>
    <t>0,017</t>
  </si>
  <si>
    <t>0,05517</t>
  </si>
  <si>
    <t>0,13</t>
  </si>
  <si>
    <t>0,0669</t>
  </si>
  <si>
    <t>0,0305</t>
  </si>
  <si>
    <t>0,12009</t>
  </si>
  <si>
    <t>0,57297</t>
  </si>
  <si>
    <t>Transporte: 60/1000</t>
  </si>
  <si>
    <t>kgCO2 /t.km</t>
  </si>
  <si>
    <t>Tratamiento: 0,015749</t>
  </si>
  <si>
    <t>Calculadora de Flandes</t>
  </si>
  <si>
    <t>Green Production</t>
  </si>
  <si>
    <t>Fuel</t>
  </si>
  <si>
    <t>EF</t>
  </si>
  <si>
    <t>Units</t>
  </si>
  <si>
    <t>Natural gas</t>
  </si>
  <si>
    <t>0,053</t>
  </si>
  <si>
    <t>kg CO2/cubic foot</t>
  </si>
  <si>
    <t>Fuel Oil</t>
  </si>
  <si>
    <t>10,21</t>
  </si>
  <si>
    <t>kg CO2/gallon</t>
  </si>
  <si>
    <t>Kerosene</t>
  </si>
  <si>
    <t>10,15</t>
  </si>
  <si>
    <t>Propane</t>
  </si>
  <si>
    <t>5,59</t>
  </si>
  <si>
    <t>Gasoline</t>
  </si>
  <si>
    <t>8,78</t>
  </si>
  <si>
    <t>Diesel Fuel</t>
  </si>
  <si>
    <t>Aviation Gasoline</t>
  </si>
  <si>
    <t>8,31</t>
  </si>
  <si>
    <t>Jet Fuel</t>
  </si>
  <si>
    <t>9,75</t>
  </si>
  <si>
    <t>RFO (Ships)</t>
  </si>
  <si>
    <t>11,27</t>
  </si>
  <si>
    <t>Biodiesel (B100)</t>
  </si>
  <si>
    <t>9,45</t>
  </si>
  <si>
    <t>B5</t>
  </si>
  <si>
    <t>10,17</t>
  </si>
  <si>
    <t>B20</t>
  </si>
  <si>
    <t>10,06</t>
  </si>
  <si>
    <t>B40</t>
  </si>
  <si>
    <t>9,91</t>
  </si>
  <si>
    <t>B99</t>
  </si>
  <si>
    <t>9,46</t>
  </si>
  <si>
    <t>Ethanol (E100)</t>
  </si>
  <si>
    <t>5,75</t>
  </si>
  <si>
    <t>E85</t>
  </si>
  <si>
    <t>6,2</t>
  </si>
  <si>
    <t>LNG</t>
  </si>
  <si>
    <t>4,46</t>
  </si>
  <si>
    <t>LPG</t>
  </si>
  <si>
    <t>5,79</t>
  </si>
  <si>
    <t>CNG</t>
  </si>
  <si>
    <t>kg CO2/gallon equivalent* (converted from kg CO2/std cubic feet)</t>
  </si>
  <si>
    <t>0,298784</t>
  </si>
  <si>
    <t>Kg CO2/KWh</t>
  </si>
  <si>
    <t>Tranporte</t>
  </si>
  <si>
    <t>Avión</t>
  </si>
  <si>
    <t>Length Classification</t>
  </si>
  <si>
    <t>EF (kg CO2/passenger mile)</t>
  </si>
  <si>
    <t>Short</t>
  </si>
  <si>
    <t>0,29</t>
  </si>
  <si>
    <t>Medium</t>
  </si>
  <si>
    <t>0,165</t>
  </si>
  <si>
    <t>Long</t>
  </si>
  <si>
    <t>0,189</t>
  </si>
  <si>
    <t>Average</t>
  </si>
  <si>
    <t>0,215</t>
  </si>
  <si>
    <t>Helicoptero</t>
  </si>
  <si>
    <t>1,7</t>
  </si>
  <si>
    <t>miles per gallon</t>
  </si>
  <si>
    <t>Alojamiento</t>
  </si>
  <si>
    <t>Economy Hotel</t>
  </si>
  <si>
    <t>10,31</t>
  </si>
  <si>
    <t>kWh/square foot/yr</t>
  </si>
  <si>
    <t>Midscale Hotel</t>
  </si>
  <si>
    <t>16,57</t>
  </si>
  <si>
    <t>Upscale Hotel</t>
  </si>
  <si>
    <t>14,96</t>
  </si>
  <si>
    <t>Luxury Hotel</t>
  </si>
  <si>
    <t>18,18</t>
  </si>
  <si>
    <t>Apartment/Condo</t>
  </si>
  <si>
    <t>kWh/yr</t>
  </si>
  <si>
    <t>Average House</t>
  </si>
  <si>
    <t>Large House</t>
  </si>
  <si>
    <t>Gallon</t>
  </si>
  <si>
    <t>litros</t>
  </si>
  <si>
    <t>cubic foot</t>
  </si>
  <si>
    <t>m3</t>
  </si>
  <si>
    <t>KgCO2/KWh</t>
  </si>
  <si>
    <t>milla</t>
  </si>
  <si>
    <t>km</t>
  </si>
  <si>
    <t>km por litro</t>
  </si>
  <si>
    <t>Códigos</t>
  </si>
  <si>
    <t>Formula</t>
  </si>
  <si>
    <t>07.01.06</t>
  </si>
  <si>
    <t>07.02.05</t>
  </si>
  <si>
    <t>07.02.06</t>
  </si>
  <si>
    <t>07.02.07</t>
  </si>
  <si>
    <t>07.02.08</t>
  </si>
  <si>
    <t>Cantidad en litros</t>
  </si>
  <si>
    <t>Tipo de Combustible</t>
  </si>
  <si>
    <t>Combustible consumido en viajes en coche o furgoneta.</t>
  </si>
  <si>
    <t xml:space="preserve">Medio </t>
  </si>
  <si>
    <t>Nº de personas</t>
  </si>
  <si>
    <t>Km Aproximados</t>
  </si>
  <si>
    <t>Viaje 1</t>
  </si>
  <si>
    <t>Viaje 2</t>
  </si>
  <si>
    <t>Viaje 3</t>
  </si>
  <si>
    <t>Viaje 4</t>
  </si>
  <si>
    <t>Viaje 5</t>
  </si>
  <si>
    <t>Viaje 6</t>
  </si>
  <si>
    <t>Viaje 7</t>
  </si>
  <si>
    <t>Viaje 8</t>
  </si>
  <si>
    <t>Viaje 9</t>
  </si>
  <si>
    <t>Viaje 10</t>
  </si>
  <si>
    <t>¿Se ha tenido en cuenta contratar hoteles con certificado de sostenibilidad?</t>
  </si>
  <si>
    <t>Nº de noches</t>
  </si>
  <si>
    <t>Hotel 1</t>
  </si>
  <si>
    <t>Hotel 2</t>
  </si>
  <si>
    <t>Hotel 3</t>
  </si>
  <si>
    <t>Hotel 4</t>
  </si>
  <si>
    <t>Hotel 5</t>
  </si>
  <si>
    <t>Hotel 6</t>
  </si>
  <si>
    <t>Hotel 7</t>
  </si>
  <si>
    <t>Hotel 8</t>
  </si>
  <si>
    <t>Hotel 9</t>
  </si>
  <si>
    <t>Hotel 10</t>
  </si>
  <si>
    <t>¿Se ha contratado un catering que provea productos locales o de cercania?</t>
  </si>
  <si>
    <t>Nº de comidas</t>
  </si>
  <si>
    <t>Tipo de Catering</t>
  </si>
  <si>
    <t>Localización 1</t>
  </si>
  <si>
    <t>Localización 2</t>
  </si>
  <si>
    <t>Localización 3</t>
  </si>
  <si>
    <t>Localización 4</t>
  </si>
  <si>
    <t>Localización 5</t>
  </si>
  <si>
    <t>Localización 6</t>
  </si>
  <si>
    <t>Localización 7</t>
  </si>
  <si>
    <t>Localización 8</t>
  </si>
  <si>
    <t>Localización 9</t>
  </si>
  <si>
    <t>Localización 10</t>
  </si>
  <si>
    <t>Consumo de combustible del grupo electrógeno</t>
  </si>
  <si>
    <t>Nº de litros</t>
  </si>
  <si>
    <t>Grupo Electrógeno 1</t>
  </si>
  <si>
    <t>Grupo Electrógeno 2</t>
  </si>
  <si>
    <t>Grupo Electrógeno 3</t>
  </si>
  <si>
    <t xml:space="preserve">Electricidad consumida </t>
  </si>
  <si>
    <t>Kwh</t>
  </si>
  <si>
    <t xml:space="preserve">Proveedor </t>
  </si>
  <si>
    <t>Lozalización 1</t>
  </si>
  <si>
    <t>Lozalización 2</t>
  </si>
  <si>
    <t>¿Se han fomentado las compras de productos con bajos residuos?</t>
  </si>
  <si>
    <t>07.04.05</t>
  </si>
  <si>
    <t>11.01.11</t>
  </si>
  <si>
    <t>¿Se ha contado con opción de catering vegetariano?</t>
  </si>
  <si>
    <t>Combustible consumido en viajes en coche o furgon.</t>
  </si>
  <si>
    <t>07.01.07</t>
  </si>
  <si>
    <t>07.01.08</t>
  </si>
  <si>
    <t>07.01.09</t>
  </si>
  <si>
    <t>07.01.10</t>
  </si>
  <si>
    <t>07.02.09</t>
  </si>
  <si>
    <t>07.02.10</t>
  </si>
  <si>
    <t>07.02.11</t>
  </si>
  <si>
    <t>07.02.12</t>
  </si>
  <si>
    <t>07.01.11</t>
  </si>
  <si>
    <t>07.01.12</t>
  </si>
  <si>
    <t>07.01.13</t>
  </si>
  <si>
    <t>07.01.14</t>
  </si>
  <si>
    <t>07.01.15</t>
  </si>
  <si>
    <t>07.01.16</t>
  </si>
  <si>
    <t>07.01.17</t>
  </si>
  <si>
    <t>07.01.18</t>
  </si>
  <si>
    <t>07.01.19</t>
  </si>
  <si>
    <t>07.01.20</t>
  </si>
  <si>
    <t>07.02.13</t>
  </si>
  <si>
    <t>07.02.14</t>
  </si>
  <si>
    <t>07.02.15</t>
  </si>
  <si>
    <t>07.02.16</t>
  </si>
  <si>
    <t>07.02.17</t>
  </si>
  <si>
    <t>07.02.18</t>
  </si>
  <si>
    <t>07.02.19</t>
  </si>
  <si>
    <t>07.02.20</t>
  </si>
  <si>
    <t>07.02.21</t>
  </si>
  <si>
    <t>07.02.22</t>
  </si>
  <si>
    <t>07.02.23</t>
  </si>
  <si>
    <t>07.02.24</t>
  </si>
  <si>
    <t>07.04.06</t>
  </si>
  <si>
    <t>07.04.07</t>
  </si>
  <si>
    <t>07.04.08</t>
  </si>
  <si>
    <t>07.04.09</t>
  </si>
  <si>
    <t>07.04.10</t>
  </si>
  <si>
    <t>11.01.12</t>
  </si>
  <si>
    <t>11.01.13</t>
  </si>
  <si>
    <t>11.01.14</t>
  </si>
  <si>
    <t>11.01.15</t>
  </si>
  <si>
    <t>11.01.16</t>
  </si>
  <si>
    <t>11.01.17</t>
  </si>
  <si>
    <t>11.01.18</t>
  </si>
  <si>
    <t>11.01.19</t>
  </si>
  <si>
    <t>11.01.20</t>
  </si>
  <si>
    <t>11.01.21</t>
  </si>
  <si>
    <t>11.01.22</t>
  </si>
  <si>
    <t>11.01.23</t>
  </si>
  <si>
    <t>11.01.24</t>
  </si>
  <si>
    <t>11.01.25</t>
  </si>
  <si>
    <t>11.01.26</t>
  </si>
  <si>
    <t>11.01.27</t>
  </si>
  <si>
    <t>11.01.28</t>
  </si>
  <si>
    <t>11.01.29</t>
  </si>
  <si>
    <t>11.01.30</t>
  </si>
  <si>
    <t>Calculos</t>
  </si>
  <si>
    <t>1.1</t>
  </si>
  <si>
    <t>1.2</t>
  </si>
  <si>
    <t>1.3</t>
  </si>
  <si>
    <t>2.1</t>
  </si>
  <si>
    <t>2.2</t>
  </si>
  <si>
    <t>2.3</t>
  </si>
  <si>
    <t>2.4</t>
  </si>
  <si>
    <t>2.5</t>
  </si>
  <si>
    <t>2.6</t>
  </si>
  <si>
    <t>2.7</t>
  </si>
  <si>
    <t>2.8</t>
  </si>
  <si>
    <t>2.9</t>
  </si>
  <si>
    <t>2.10</t>
  </si>
  <si>
    <t>3.1</t>
  </si>
  <si>
    <t>3.2</t>
  </si>
  <si>
    <t>3.3</t>
  </si>
  <si>
    <t>3.4</t>
  </si>
  <si>
    <t>3.5</t>
  </si>
  <si>
    <t>3.6</t>
  </si>
  <si>
    <t>3.7</t>
  </si>
  <si>
    <t>3.8</t>
  </si>
  <si>
    <t>3.9</t>
  </si>
  <si>
    <t>3.10</t>
  </si>
  <si>
    <t>4.1</t>
  </si>
  <si>
    <t>4.2</t>
  </si>
  <si>
    <t>4.3</t>
  </si>
  <si>
    <t>1.4</t>
  </si>
  <si>
    <t>1.5</t>
  </si>
  <si>
    <t>1.6</t>
  </si>
  <si>
    <t>1.7</t>
  </si>
  <si>
    <t>1.8</t>
  </si>
  <si>
    <t>1.9</t>
  </si>
  <si>
    <t>1.10</t>
  </si>
  <si>
    <t>2.11</t>
  </si>
  <si>
    <t>2.12</t>
  </si>
  <si>
    <t>2.13</t>
  </si>
  <si>
    <t>2.14</t>
  </si>
  <si>
    <t>2.15</t>
  </si>
  <si>
    <t>2.16</t>
  </si>
  <si>
    <t>2.17</t>
  </si>
  <si>
    <t>2.18</t>
  </si>
  <si>
    <t>2.19</t>
  </si>
  <si>
    <t>2.20</t>
  </si>
  <si>
    <t>2.21</t>
  </si>
  <si>
    <t>2.22</t>
  </si>
  <si>
    <t>2.23</t>
  </si>
  <si>
    <t>2.24</t>
  </si>
  <si>
    <t>2.25</t>
  </si>
  <si>
    <t>2.26</t>
  </si>
  <si>
    <t>2.27</t>
  </si>
  <si>
    <t>2.28</t>
  </si>
  <si>
    <t>2.29</t>
  </si>
  <si>
    <t>2.30</t>
  </si>
  <si>
    <t>Medio de transporte</t>
  </si>
  <si>
    <t>kgCO2</t>
  </si>
  <si>
    <t>kgCO2/noche</t>
  </si>
  <si>
    <t>kgCO2/comida</t>
  </si>
  <si>
    <t>3.11</t>
  </si>
  <si>
    <t>3.12</t>
  </si>
  <si>
    <t>3.13</t>
  </si>
  <si>
    <t>3.14</t>
  </si>
  <si>
    <t>3.15</t>
  </si>
  <si>
    <t>3.16</t>
  </si>
  <si>
    <t>3.17</t>
  </si>
  <si>
    <t>3.18</t>
  </si>
  <si>
    <t>3.19</t>
  </si>
  <si>
    <t>3.20</t>
  </si>
  <si>
    <t>3.21</t>
  </si>
  <si>
    <t>3.22</t>
  </si>
  <si>
    <t>3.23</t>
  </si>
  <si>
    <t>3.24</t>
  </si>
  <si>
    <t>3.25</t>
  </si>
  <si>
    <t>3.26</t>
  </si>
  <si>
    <t>3.27</t>
  </si>
  <si>
    <t>3.28</t>
  </si>
  <si>
    <t>3.29</t>
  </si>
  <si>
    <t>3.30</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</si>
  <si>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</si>
  <si>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</si>
  <si>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</si>
  <si>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</si>
  <si>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</si>
  <si>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</si>
  <si>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</si>
  <si>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</si>
  <si>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</si>
  <si>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</si>
  <si>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</si>
  <si>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</si>
  <si>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</si>
  <si>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</si>
  <si>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</si>
  <si>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</si>
  <si>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</si>
  <si>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</si>
  <si>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</si>
  <si>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</si>
  <si>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</si>
  <si>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</si>
  <si>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</si>
  <si>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</si>
  <si>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</si>
  <si>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</si>
  <si>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</si>
  <si>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</si>
  <si>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</si>
  <si>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</si>
  <si>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</si>
  <si>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</si>
  <si>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</si>
  <si>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</si>
  <si>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</si>
  <si>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</si>
  <si>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</si>
  <si>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</si>
  <si>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</si>
  <si>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</si>
  <si>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</si>
  <si>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</si>
  <si>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</si>
  <si>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</si>
  <si>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</si>
  <si>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</si>
  <si>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</si>
  <si>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</si>
  <si>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</si>
  <si>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</si>
  <si>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</si>
  <si>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</si>
  <si>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</si>
  <si>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</si>
  <si>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</si>
  <si>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</si>
  <si>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</si>
  <si>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</si>
  <si>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</si>
  <si>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</si>
  <si>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</si>
  <si>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</si>
  <si>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</si>
  <si>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</si>
  <si>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</si>
  <si>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</si>
  <si>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</si>
  <si>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</si>
  <si>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</si>
  <si>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</si>
  <si>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</si>
  <si>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</si>
  <si>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</si>
  <si>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</si>
  <si>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</si>
  <si>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</si>
  <si>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</si>
  <si>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</si>
  <si>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</si>
  <si>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</si>
  <si>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</si>
  <si>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</si>
  <si>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</si>
  <si>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</si>
  <si>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</si>
  <si>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</si>
  <si>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</si>
  <si>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</si>
  <si>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</si>
  <si>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</si>
  <si>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</si>
  <si>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</si>
  <si>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</si>
  <si>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</si>
  <si>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</si>
  <si>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</si>
  <si>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</si>
  <si>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</si>
  <si>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</si>
  <si>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</si>
  <si>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</si>
  <si>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</si>
  <si>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</si>
  <si>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</si>
  <si>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</si>
  <si>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</si>
  <si>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</si>
  <si>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</si>
  <si>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</si>
  <si>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</si>
  <si>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</si>
  <si>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</si>
  <si>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</si>
  <si>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</si>
  <si>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</si>
  <si>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</si>
  <si>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</si>
  <si>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</si>
  <si>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</si>
  <si>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</si>
  <si>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</si>
  <si>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</si>
  <si>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</si>
  <si>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</si>
  <si>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</si>
  <si>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</si>
  <si>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5.100</t>
  </si>
  <si>
    <t>7.1</t>
  </si>
  <si>
    <t>7.2</t>
  </si>
  <si>
    <t>7.3</t>
  </si>
  <si>
    <t>7.4</t>
  </si>
  <si>
    <t>7.5</t>
  </si>
  <si>
    <t>7.6</t>
  </si>
  <si>
    <t>7.7</t>
  </si>
  <si>
    <t>7.8</t>
  </si>
  <si>
    <t>7.9</t>
  </si>
  <si>
    <t>7.10</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</si>
  <si>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</si>
  <si>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</si>
  <si>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</si>
  <si>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</si>
  <si>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</si>
  <si>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</si>
  <si>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</si>
  <si>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</si>
  <si>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</si>
  <si>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</si>
  <si>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</si>
  <si>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</si>
  <si>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</si>
  <si>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</si>
  <si>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</si>
  <si>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</si>
  <si>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</si>
  <si>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</si>
  <si>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</si>
  <si>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</si>
  <si>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</si>
  <si>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</si>
  <si>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</si>
  <si>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</si>
  <si>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</si>
  <si>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</si>
  <si>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</si>
  <si>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</si>
  <si>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</si>
  <si>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</si>
  <si>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</si>
  <si>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</si>
  <si>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</si>
  <si>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</si>
  <si>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</si>
  <si>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</si>
  <si>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</si>
  <si>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</si>
  <si>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</si>
  <si>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</si>
  <si>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</si>
  <si>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</si>
  <si>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</si>
  <si>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</si>
  <si>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</si>
  <si>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</si>
  <si>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</si>
  <si>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</si>
  <si>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</si>
  <si>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</si>
  <si>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</si>
  <si>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</si>
  <si>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</si>
  <si>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</si>
  <si>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</si>
  <si>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</si>
  <si>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</si>
  <si>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</si>
  <si>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</si>
  <si>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</si>
  <si>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</si>
  <si>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</si>
  <si>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</si>
  <si>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</si>
  <si>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</si>
  <si>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</si>
  <si>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</si>
  <si>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</si>
  <si>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</si>
  <si>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</si>
  <si>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</si>
  <si>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</si>
  <si>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</si>
  <si>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</si>
  <si>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</si>
  <si>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</si>
  <si>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</si>
  <si>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</si>
  <si>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</si>
  <si>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</si>
  <si>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</si>
  <si>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</si>
  <si>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</si>
  <si>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</si>
  <si>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</si>
  <si>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</si>
  <si>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</si>
  <si>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</si>
  <si>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</si>
  <si>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</si>
  <si>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</si>
  <si>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</si>
  <si>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</si>
  <si>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</si>
  <si>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</si>
  <si>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</si>
  <si>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</si>
  <si>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</si>
  <si>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</si>
  <si>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6.100</t>
  </si>
  <si>
    <t>8.1</t>
  </si>
  <si>
    <t>8.2</t>
  </si>
  <si>
    <t>8.3</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</si>
  <si>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</si>
  <si>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</si>
  <si>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</si>
  <si>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</si>
  <si>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</si>
  <si>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</si>
  <si>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</si>
  <si>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</si>
  <si>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</si>
  <si>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</si>
  <si>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</si>
  <si>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</si>
  <si>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</si>
  <si>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</si>
  <si>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</si>
  <si>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</si>
  <si>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</si>
  <si>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</si>
  <si>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</si>
  <si>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</si>
  <si>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</si>
  <si>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</si>
  <si>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</si>
  <si>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</si>
  <si>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</si>
  <si>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</si>
  <si>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</si>
  <si>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</si>
  <si>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</si>
  <si>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</si>
  <si>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</si>
  <si>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</si>
  <si>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</si>
  <si>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</si>
  <si>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</si>
  <si>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</si>
  <si>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</si>
  <si>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</si>
  <si>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</si>
  <si>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</si>
  <si>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</si>
  <si>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</si>
  <si>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</si>
  <si>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</si>
  <si>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</si>
  <si>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</si>
  <si>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</si>
  <si>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</si>
  <si>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</si>
  <si>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</si>
  <si>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</si>
  <si>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</si>
  <si>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</si>
  <si>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</si>
  <si>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</si>
  <si>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</si>
  <si>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</si>
  <si>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</si>
  <si>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</si>
  <si>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</si>
  <si>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</si>
  <si>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</si>
  <si>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</si>
  <si>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</si>
  <si>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</si>
  <si>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</si>
  <si>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</si>
  <si>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</si>
  <si>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</si>
  <si>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</si>
  <si>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</si>
  <si>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</si>
  <si>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</si>
  <si>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</si>
  <si>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</si>
  <si>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</si>
  <si>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</si>
  <si>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</si>
  <si>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</si>
  <si>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</si>
  <si>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</si>
  <si>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</si>
  <si>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</si>
  <si>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</si>
  <si>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</si>
  <si>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</si>
  <si>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</si>
  <si>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</si>
  <si>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</si>
  <si>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7.100</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</si>
  <si>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</si>
  <si>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</si>
  <si>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</si>
  <si>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</si>
  <si>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</si>
  <si>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</si>
  <si>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</si>
  <si>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</si>
  <si>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</si>
  <si>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</si>
  <si>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</si>
  <si>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</si>
  <si>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</si>
  <si>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</si>
  <si>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</si>
  <si>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</si>
  <si>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</si>
  <si>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</si>
  <si>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</si>
  <si>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</si>
  <si>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</si>
  <si>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</si>
  <si>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</si>
  <si>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</si>
  <si>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</si>
  <si>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</si>
  <si>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</si>
  <si>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</si>
  <si>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</si>
  <si>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</si>
  <si>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</si>
  <si>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</si>
  <si>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</si>
  <si>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</si>
  <si>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</si>
  <si>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</si>
  <si>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</si>
  <si>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</si>
  <si>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</si>
  <si>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</si>
  <si>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</si>
  <si>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</si>
  <si>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</si>
  <si>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</si>
  <si>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</si>
  <si>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</si>
  <si>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</si>
  <si>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</si>
  <si>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</si>
  <si>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</si>
  <si>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</si>
  <si>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</si>
  <si>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</si>
  <si>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</si>
  <si>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</si>
  <si>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</si>
  <si>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</si>
  <si>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</si>
  <si>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</si>
  <si>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</si>
  <si>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</si>
  <si>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</si>
  <si>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</si>
  <si>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</si>
  <si>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</si>
  <si>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</si>
  <si>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</si>
  <si>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</si>
  <si>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</si>
  <si>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</si>
  <si>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</si>
  <si>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</si>
  <si>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</si>
  <si>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</si>
  <si>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</si>
  <si>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</si>
  <si>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</si>
  <si>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</si>
  <si>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</si>
  <si>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</si>
  <si>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</si>
  <si>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</si>
  <si>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</si>
  <si>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</si>
  <si>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</si>
  <si>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</si>
  <si>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</si>
  <si>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</si>
  <si>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</si>
  <si>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</si>
  <si>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</si>
  <si>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</si>
  <si>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</si>
  <si>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</si>
  <si>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</si>
  <si>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</si>
  <si>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8.100</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</si>
  <si>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</si>
  <si>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</si>
  <si>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</si>
  <si>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</si>
  <si>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</si>
  <si>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</si>
  <si>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</si>
  <si>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</si>
  <si>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</si>
  <si>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</si>
  <si>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</si>
  <si>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</si>
  <si>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</si>
  <si>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</si>
  <si>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</si>
  <si>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</si>
  <si>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</si>
  <si>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</si>
  <si>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</si>
  <si>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</si>
  <si>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</si>
  <si>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</si>
  <si>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</si>
  <si>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</si>
  <si>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</si>
  <si>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</si>
  <si>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9.27</t>
  </si>
  <si>
    <t>9.28</t>
  </si>
  <si>
    <t>9.29</t>
  </si>
  <si>
    <t>9.30</t>
  </si>
  <si>
    <t>¿Ha usado vehículos híbridos o electrícos en para el transporte?</t>
  </si>
  <si>
    <t>¿Se han separado los residuos para su reciclaje?</t>
  </si>
  <si>
    <t>¿Se han utilizado generadores de electricos de gas o equipados con baterías?</t>
  </si>
  <si>
    <t>¿Se ha utilizado iluminación eficiente tipo led?</t>
  </si>
  <si>
    <t>Potencia de la iluminación en el set de grabación</t>
  </si>
  <si>
    <t>¿Se ha buscado minimizar la distancia entre el hotel y el set de rodaje?</t>
  </si>
  <si>
    <t xml:space="preserve">¿Se ha tenido en cuenta reducir el número de envases utilizando fuentes de agua, vasos y platos reutilizables, etc? </t>
  </si>
  <si>
    <t>¿Se ha priorizado usar los guiones y las hojas de rodaje en formato digital en lugar de impreso?</t>
  </si>
  <si>
    <t>¿Si se ha tenido que imprimir algún guión u hoja de rodaje se ha usado papel reciclado?</t>
  </si>
  <si>
    <t>¿Se ha priorizado el alquiler o reutilización de vesturario?</t>
  </si>
  <si>
    <t>¿Se ha priorizado la reutilización o el alquiler de decorados?</t>
  </si>
  <si>
    <t>¿Se ha priorizado la los alimentos a granel y con menor embalaje?</t>
  </si>
  <si>
    <t>Edición de video</t>
  </si>
  <si>
    <t>Edición de sonido</t>
  </si>
  <si>
    <t>Foley</t>
  </si>
  <si>
    <t>Efectos especiales</t>
  </si>
  <si>
    <t>Laboratorio</t>
  </si>
  <si>
    <t>Nº de días</t>
  </si>
  <si>
    <t>kgCO2/dia</t>
  </si>
  <si>
    <t>Gasto en €</t>
  </si>
  <si>
    <t>Potencia en Kw</t>
  </si>
  <si>
    <t>10.1</t>
  </si>
  <si>
    <t>10.2</t>
  </si>
  <si>
    <t>11.1</t>
  </si>
  <si>
    <t>11.2</t>
  </si>
  <si>
    <t>12.1</t>
  </si>
  <si>
    <t>12.2</t>
  </si>
  <si>
    <t>12.3</t>
  </si>
  <si>
    <t>12.4</t>
  </si>
  <si>
    <t>12.5</t>
  </si>
  <si>
    <t>12.6</t>
  </si>
  <si>
    <t>13.1</t>
  </si>
  <si>
    <t>13.2</t>
  </si>
  <si>
    <t>13.3</t>
  </si>
  <si>
    <t>13.4</t>
  </si>
  <si>
    <t>13.5</t>
  </si>
  <si>
    <t>kgCO2/eur</t>
  </si>
  <si>
    <t>Título de la producción:</t>
  </si>
  <si>
    <t>Preproducción</t>
  </si>
  <si>
    <t>Producción</t>
  </si>
  <si>
    <t>Postproducción</t>
  </si>
  <si>
    <t xml:space="preserve">Nº de personas </t>
  </si>
  <si>
    <t>Nº de días de trabajo</t>
  </si>
  <si>
    <t>0.1</t>
  </si>
  <si>
    <t>0.2</t>
  </si>
  <si>
    <t>Presupuesto en €</t>
  </si>
  <si>
    <t>0.3</t>
  </si>
  <si>
    <t>0.4</t>
  </si>
  <si>
    <t>0.5</t>
  </si>
  <si>
    <t xml:space="preserve">Presupuesto total en €: </t>
  </si>
  <si>
    <t>¿Ha usado vehículos híbrido o eléctricos en para el transporte?</t>
  </si>
  <si>
    <t>1.11</t>
  </si>
  <si>
    <t>1.12</t>
  </si>
  <si>
    <t>1.13</t>
  </si>
  <si>
    <t>1.14</t>
  </si>
  <si>
    <t>1.15</t>
  </si>
  <si>
    <t>1.16</t>
  </si>
  <si>
    <t>1.17</t>
  </si>
  <si>
    <t>1.18</t>
  </si>
  <si>
    <t>1.19</t>
  </si>
  <si>
    <t>1.20</t>
  </si>
  <si>
    <t>1.0</t>
  </si>
  <si>
    <t>1.21</t>
  </si>
  <si>
    <t>1.22</t>
  </si>
  <si>
    <t>1.23</t>
  </si>
  <si>
    <t>1.24</t>
  </si>
  <si>
    <t>1.25</t>
  </si>
  <si>
    <t>1.26</t>
  </si>
  <si>
    <t>1.27</t>
  </si>
  <si>
    <t>1.28</t>
  </si>
  <si>
    <t>1.29</t>
  </si>
  <si>
    <t>1.30</t>
  </si>
  <si>
    <t>2.0</t>
  </si>
  <si>
    <t>4.0</t>
  </si>
  <si>
    <t>5.0</t>
  </si>
  <si>
    <t>7.0</t>
  </si>
  <si>
    <t>8.0</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</si>
  <si>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</si>
  <si>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</si>
  <si>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</si>
  <si>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</si>
  <si>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</si>
  <si>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</si>
  <si>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</si>
  <si>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</si>
  <si>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</si>
  <si>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</si>
  <si>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</si>
  <si>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</si>
  <si>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</si>
  <si>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</si>
  <si>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</si>
  <si>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</si>
  <si>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</si>
  <si>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</si>
  <si>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</si>
  <si>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</si>
  <si>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</si>
  <si>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</si>
  <si>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</si>
  <si>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</si>
  <si>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</si>
  <si>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Hospedaje</t>
  </si>
  <si>
    <t>3.0</t>
  </si>
  <si>
    <t>6.0</t>
  </si>
  <si>
    <t>Electricidad generada y consumida</t>
  </si>
  <si>
    <t>9.0</t>
  </si>
  <si>
    <t xml:space="preserve">Catering </t>
  </si>
  <si>
    <t>Decorados y escenarios</t>
  </si>
  <si>
    <t>emi_04.01</t>
  </si>
  <si>
    <t>emi_04.02</t>
  </si>
  <si>
    <t>Ambientación</t>
  </si>
  <si>
    <t>emi_04.03</t>
  </si>
  <si>
    <t>Escenografía</t>
  </si>
  <si>
    <t>emi_05.03</t>
  </si>
  <si>
    <t>Varios producción</t>
  </si>
  <si>
    <t>emi_06.01</t>
  </si>
  <si>
    <t>Adquisición de alquiler de maquinaria y elementos de rodaje</t>
  </si>
  <si>
    <t>Adquisición y alquiler de maquinaría y elementos para el rodaje</t>
  </si>
  <si>
    <t>13.0</t>
  </si>
  <si>
    <t>¡Recuerda! para los transportes en bus, tren o avión el tren es el transporte con menor huella de carbono, selecciónalo siempre que sea posible.</t>
  </si>
  <si>
    <t>RECOMENDACIONES</t>
  </si>
  <si>
    <t xml:space="preserve">TOTAL </t>
  </si>
  <si>
    <t>TonCO2</t>
  </si>
  <si>
    <t>tonCO2eq</t>
  </si>
  <si>
    <t>Emisiones por tipo de actividad</t>
  </si>
  <si>
    <t>Emisiones por fase de la producción.</t>
  </si>
  <si>
    <t>Indicadores</t>
  </si>
  <si>
    <t>€ Presupuesto</t>
  </si>
  <si>
    <t>personas/dia de trabajo</t>
  </si>
  <si>
    <t>kg CO2 personas día de trabajo</t>
  </si>
  <si>
    <t>TOTAL</t>
  </si>
  <si>
    <t>Contratando proveedores eléctricos de energía renovables te garantizas que todo tu consumo eléctrico de la red es libre de emisiones de gases de efecto invernadero.</t>
  </si>
  <si>
    <t>Priorizar en el alquiler en lugar de la compra de decorados, vestuario, etc siempre repercute en la reducción de la huella de carbono de la producción.</t>
  </si>
  <si>
    <t>En la gestión de residuos hay una máxima reducir, reutilizar y reciclar. Está máxima además va por orden: reducir el número de productos que se comprar y que luego se desechan. Reutilizar siempre que sea posible. En ultimo caso todos nuestros residuos deben reciclarse. Con esta regla además de optimizar los recursos estamos reduciendo la huella de carbono de la producción audiovisual.</t>
  </si>
  <si>
    <t>Kilogramos de CO2eq por € de presupuesto</t>
  </si>
  <si>
    <t>Kilogramos de CO2eq por persona/dia de trabajo</t>
  </si>
  <si>
    <t>La postproducción puede ser más sostenible si se usan provedores de energía electrica que provengan de fuentes renovables para realizar todas las acciones que requieran consumo eléctrico.</t>
  </si>
  <si>
    <t xml:space="preserve">Compensación </t>
  </si>
  <si>
    <t>Para compensar el impacto de la producción en emisiones de gases de efecto invernadero:</t>
  </si>
  <si>
    <t>Huella Mínma</t>
  </si>
  <si>
    <t>Compensación Huella Mínma</t>
  </si>
  <si>
    <t>Para compensar el impacto de huella mínima la producción en emisiones de gases de efecto invernadero:</t>
  </si>
  <si>
    <t>Este resultado no es el impacto al completo tán solo una aproximación.</t>
  </si>
  <si>
    <r>
      <t>kg CO</t>
    </r>
    <r>
      <rPr>
        <b/>
        <vertAlign val="subscript"/>
        <sz val="22"/>
        <color theme="1"/>
        <rFont val="Arial"/>
        <family val="2"/>
      </rPr>
      <t>2</t>
    </r>
  </si>
  <si>
    <t>Factor de emision de OCCC</t>
  </si>
  <si>
    <t>kg CO2eq/m3</t>
  </si>
  <si>
    <t>Consumo de agua</t>
  </si>
  <si>
    <t>Consumo de agua en litros</t>
  </si>
  <si>
    <t>¿Se ha intentado reutilizar el agua que se ha necesitado en el rodaje y no se ha usado?</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</si>
  <si>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</si>
  <si>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</si>
  <si>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</si>
  <si>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</si>
  <si>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</si>
  <si>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</si>
  <si>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</si>
  <si>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</si>
  <si>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</si>
  <si>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</si>
  <si>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</si>
  <si>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</si>
  <si>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</si>
  <si>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</si>
  <si>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</si>
  <si>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</si>
  <si>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</si>
  <si>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</si>
  <si>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</si>
  <si>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</si>
  <si>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</si>
  <si>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</si>
  <si>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</si>
  <si>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</si>
  <si>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</si>
  <si>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</si>
  <si>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</si>
  <si>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</si>
  <si>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</si>
  <si>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</si>
  <si>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14.0</t>
  </si>
  <si>
    <t xml:space="preserve"> </t>
  </si>
  <si>
    <t>¿Se ha usado vehículo compartido en los traslados de preproducción?</t>
  </si>
  <si>
    <t>¿Se ha usado vehículo compartido en los traslados de la producción?</t>
  </si>
  <si>
    <t>productos locales</t>
  </si>
</sst>
</file>

<file path=xl/styles.xml><?xml version="1.0" encoding="utf-8"?>
<styleSheet xmlns="http://schemas.openxmlformats.org/spreadsheetml/2006/main">
  <numFmts count="4">
    <numFmt numFmtId="164" formatCode="#,##0.0000"/>
    <numFmt numFmtId="165" formatCode="0.0000"/>
    <numFmt numFmtId="166" formatCode="0.000"/>
    <numFmt numFmtId="167" formatCode="_-* #,##0\ [$€-C0A]_-;\-* #,##0\ [$€-C0A]_-;_-* &quot;-&quot;??\ [$€-C0A]_-;_-@_-"/>
  </numFmts>
  <fonts count="29">
    <font>
      <sz val="11"/>
      <color theme="1"/>
      <name val="Calibri"/>
      <family val="2"/>
      <scheme val="minor"/>
    </font>
    <font>
      <b/>
      <sz val="11"/>
      <name val="Arial Narrow"/>
      <family val="2"/>
    </font>
    <font>
      <sz val="10"/>
      <name val="Arial Narrow"/>
      <family val="2"/>
    </font>
    <font>
      <b/>
      <sz val="11"/>
      <name val="Arial"/>
      <family val="2"/>
    </font>
    <font>
      <sz val="10"/>
      <color theme="1"/>
      <name val="Arial"/>
      <family val="2"/>
    </font>
    <font>
      <sz val="10"/>
      <color rgb="FF000000"/>
      <name val="Arial"/>
      <family val="2"/>
    </font>
    <font>
      <sz val="9"/>
      <color theme="1"/>
      <name val="Century Gothic"/>
      <family val="2"/>
    </font>
    <font>
      <sz val="9"/>
      <color rgb="FF000000"/>
      <name val="Century Gothic"/>
      <family val="2"/>
    </font>
    <font>
      <b/>
      <sz val="10"/>
      <color rgb="FF000000"/>
      <name val="Arial"/>
      <family val="2"/>
    </font>
    <font>
      <sz val="8"/>
      <color theme="1"/>
      <name val="Arial"/>
      <family val="2"/>
    </font>
    <font>
      <u/>
      <sz val="11"/>
      <color theme="1"/>
      <name val="Calibri"/>
      <family val="2"/>
      <scheme val="minor"/>
    </font>
    <font>
      <b/>
      <sz val="11"/>
      <color theme="1"/>
      <name val="Calibri"/>
      <family val="2"/>
      <scheme val="minor"/>
    </font>
    <font>
      <b/>
      <sz val="11"/>
      <name val="Arial Narrow"/>
      <family val="2"/>
      <charset val="1"/>
    </font>
    <font>
      <b/>
      <sz val="11"/>
      <color indexed="8"/>
      <name val="Arial Narrow"/>
      <family val="2"/>
      <charset val="1"/>
    </font>
    <font>
      <b/>
      <sz val="12"/>
      <name val="Arial Narrow"/>
      <family val="2"/>
    </font>
    <font>
      <sz val="10"/>
      <color indexed="54"/>
      <name val="Helvetica Neue"/>
      <family val="2"/>
    </font>
    <font>
      <sz val="10"/>
      <color indexed="63"/>
      <name val="Arial Narrow"/>
      <family val="2"/>
    </font>
    <font>
      <sz val="10"/>
      <color indexed="63"/>
      <name val="Arial Narrow"/>
      <family val="2"/>
      <charset val="1"/>
    </font>
    <font>
      <sz val="11"/>
      <color theme="1"/>
      <name val="Arial"/>
      <family val="2"/>
    </font>
    <font>
      <b/>
      <u/>
      <sz val="11"/>
      <name val="Arial"/>
      <family val="2"/>
    </font>
    <font>
      <b/>
      <sz val="22"/>
      <color theme="1"/>
      <name val="Arial"/>
      <family val="2"/>
    </font>
    <font>
      <b/>
      <vertAlign val="subscript"/>
      <sz val="22"/>
      <color theme="1"/>
      <name val="Arial"/>
      <family val="2"/>
    </font>
    <font>
      <b/>
      <sz val="14"/>
      <color theme="1"/>
      <name val="Arial"/>
      <family val="2"/>
    </font>
    <font>
      <i/>
      <sz val="14"/>
      <color theme="1"/>
      <name val="Arial"/>
      <family val="2"/>
    </font>
    <font>
      <b/>
      <sz val="11"/>
      <color theme="1"/>
      <name val="Arial"/>
      <family val="2"/>
    </font>
    <font>
      <b/>
      <i/>
      <sz val="11"/>
      <color theme="1"/>
      <name val="Arial"/>
      <family val="2"/>
    </font>
    <font>
      <u/>
      <sz val="11"/>
      <color theme="1"/>
      <name val="Arial"/>
      <family val="2"/>
    </font>
    <font>
      <sz val="14"/>
      <color theme="1"/>
      <name val="Arial"/>
      <family val="2"/>
    </font>
    <font>
      <b/>
      <sz val="12"/>
      <color theme="1"/>
      <name val="Arial"/>
      <family val="2"/>
    </font>
  </fonts>
  <fills count="20">
    <fill>
      <patternFill patternType="none"/>
    </fill>
    <fill>
      <patternFill patternType="gray125"/>
    </fill>
    <fill>
      <patternFill patternType="solid">
        <fgColor rgb="FFFFF2CC"/>
        <bgColor indexed="64"/>
      </patternFill>
    </fill>
    <fill>
      <patternFill patternType="solid">
        <fgColor rgb="FFB7B7B7"/>
        <bgColor indexed="64"/>
      </patternFill>
    </fill>
    <fill>
      <patternFill patternType="solid">
        <fgColor rgb="FFFFE599"/>
        <bgColor indexed="64"/>
      </patternFill>
    </fill>
    <fill>
      <patternFill patternType="solid">
        <fgColor rgb="FFEFEFEF"/>
        <bgColor indexed="64"/>
      </patternFill>
    </fill>
    <fill>
      <patternFill patternType="solid">
        <fgColor rgb="FFD9D9D9"/>
        <bgColor indexed="64"/>
      </patternFill>
    </fill>
    <fill>
      <patternFill patternType="solid">
        <fgColor rgb="FFDD7E6B"/>
        <bgColor indexed="64"/>
      </patternFill>
    </fill>
    <fill>
      <patternFill patternType="solid">
        <fgColor rgb="FFFFFFFF"/>
        <bgColor indexed="64"/>
      </patternFill>
    </fill>
    <fill>
      <patternFill patternType="solid">
        <fgColor rgb="FFF9CB9C"/>
        <bgColor indexed="64"/>
      </patternFill>
    </fill>
    <fill>
      <patternFill patternType="solid">
        <fgColor rgb="FFB6D7A8"/>
        <bgColor indexed="64"/>
      </patternFill>
    </fill>
    <fill>
      <patternFill patternType="solid">
        <fgColor rgb="FF9FC5E8"/>
        <bgColor indexed="64"/>
      </patternFill>
    </fill>
    <fill>
      <patternFill patternType="solid">
        <fgColor rgb="FFA4C2F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s>
  <borders count="31">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style="medium">
        <color rgb="FFCCCCCC"/>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diagonal/>
    </border>
    <border>
      <left style="medium">
        <color rgb="FFCCCCCC"/>
      </left>
      <right style="medium">
        <color rgb="FF000000"/>
      </right>
      <top/>
      <bottom/>
      <diagonal/>
    </border>
    <border>
      <left style="medium">
        <color rgb="FFCCCCCC"/>
      </left>
      <right style="medium">
        <color rgb="FF000000"/>
      </right>
      <top/>
      <bottom style="medium">
        <color rgb="FFCCCCCC"/>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medium">
        <color indexed="8"/>
      </right>
      <top style="double">
        <color indexed="8"/>
      </top>
      <bottom style="thin">
        <color indexed="8"/>
      </bottom>
      <diagonal/>
    </border>
    <border>
      <left style="medium">
        <color indexed="8"/>
      </left>
      <right style="medium">
        <color indexed="8"/>
      </right>
      <top/>
      <bottom style="medium">
        <color indexed="8"/>
      </bottom>
      <diagonal/>
    </border>
  </borders>
  <cellStyleXfs count="1">
    <xf numFmtId="0" fontId="0" fillId="0" borderId="0"/>
  </cellStyleXfs>
  <cellXfs count="176">
    <xf numFmtId="0" fontId="0" fillId="0" borderId="0" xfId="0"/>
    <xf numFmtId="0" fontId="11" fillId="0" borderId="0" xfId="0" applyFont="1"/>
    <xf numFmtId="0" fontId="0" fillId="14" borderId="0" xfId="0" applyFill="1"/>
    <xf numFmtId="0" fontId="1" fillId="19" borderId="0" xfId="0" applyFont="1" applyFill="1" applyAlignment="1">
      <alignment horizontal="center"/>
    </xf>
    <xf numFmtId="0" fontId="0" fillId="19" borderId="0" xfId="0" applyFill="1"/>
    <xf numFmtId="0" fontId="0" fillId="19" borderId="0" xfId="0" applyFont="1" applyFill="1"/>
    <xf numFmtId="0" fontId="10" fillId="19" borderId="0" xfId="0" applyFont="1" applyFill="1"/>
    <xf numFmtId="0" fontId="18" fillId="19" borderId="0" xfId="0" applyFont="1" applyFill="1"/>
    <xf numFmtId="0" fontId="3" fillId="19" borderId="0" xfId="0" applyFont="1" applyFill="1" applyAlignment="1">
      <alignment horizontal="center"/>
    </xf>
    <xf numFmtId="0" fontId="3" fillId="19" borderId="0" xfId="0" applyFont="1" applyFill="1" applyAlignment="1">
      <alignment horizontal="left"/>
    </xf>
    <xf numFmtId="0" fontId="3" fillId="19" borderId="0" xfId="0" applyFont="1" applyFill="1" applyBorder="1" applyAlignment="1">
      <alignment horizontal="left"/>
    </xf>
    <xf numFmtId="0" fontId="19" fillId="19" borderId="0" xfId="0" applyFont="1" applyFill="1" applyAlignment="1">
      <alignment horizontal="center"/>
    </xf>
    <xf numFmtId="0" fontId="20" fillId="19" borderId="0" xfId="0" applyFont="1" applyFill="1"/>
    <xf numFmtId="1" fontId="20" fillId="19" borderId="0" xfId="0" applyNumberFormat="1" applyFont="1" applyFill="1"/>
    <xf numFmtId="0" fontId="22" fillId="19" borderId="0" xfId="0" applyFont="1" applyFill="1"/>
    <xf numFmtId="0" fontId="23" fillId="19" borderId="0" xfId="0" applyFont="1" applyFill="1"/>
    <xf numFmtId="0" fontId="24" fillId="19" borderId="0" xfId="0" applyFont="1" applyFill="1"/>
    <xf numFmtId="0" fontId="18" fillId="0" borderId="0" xfId="0" applyFont="1"/>
    <xf numFmtId="0" fontId="18" fillId="17" borderId="0" xfId="0" applyFont="1" applyFill="1"/>
    <xf numFmtId="0" fontId="18" fillId="13" borderId="0" xfId="0" applyFont="1" applyFill="1"/>
    <xf numFmtId="0" fontId="18" fillId="14" borderId="0" xfId="0" applyFont="1" applyFill="1"/>
    <xf numFmtId="0" fontId="18" fillId="16" borderId="0" xfId="0" applyFont="1" applyFill="1"/>
    <xf numFmtId="0" fontId="26" fillId="16" borderId="0" xfId="0" applyFont="1" applyFill="1"/>
    <xf numFmtId="0" fontId="26" fillId="17" borderId="0" xfId="0" applyFont="1" applyFill="1"/>
    <xf numFmtId="0" fontId="22" fillId="17" borderId="0" xfId="0" applyFont="1" applyFill="1"/>
    <xf numFmtId="0" fontId="27" fillId="17" borderId="0" xfId="0" applyFont="1" applyFill="1"/>
    <xf numFmtId="1" fontId="18" fillId="17" borderId="0" xfId="0" applyNumberFormat="1" applyFont="1" applyFill="1"/>
    <xf numFmtId="0" fontId="18" fillId="18" borderId="0" xfId="0" applyFont="1" applyFill="1"/>
    <xf numFmtId="0" fontId="23" fillId="18" borderId="0" xfId="0" applyFont="1" applyFill="1"/>
    <xf numFmtId="2" fontId="18" fillId="17" borderId="0" xfId="0" applyNumberFormat="1" applyFont="1" applyFill="1"/>
    <xf numFmtId="0" fontId="28" fillId="18" borderId="0" xfId="0" applyFont="1" applyFill="1"/>
    <xf numFmtId="0" fontId="18" fillId="15" borderId="19" xfId="0" applyFont="1" applyFill="1" applyBorder="1" applyProtection="1">
      <protection locked="0"/>
    </xf>
    <xf numFmtId="167" fontId="18" fillId="15" borderId="19" xfId="0" applyNumberFormat="1" applyFont="1" applyFill="1" applyBorder="1" applyProtection="1">
      <protection locked="0"/>
    </xf>
    <xf numFmtId="0" fontId="18" fillId="13" borderId="0" xfId="0" applyFont="1" applyFill="1" applyProtection="1">
      <protection locked="0"/>
    </xf>
    <xf numFmtId="0" fontId="24" fillId="15" borderId="19" xfId="0" applyFont="1" applyFill="1" applyBorder="1" applyProtection="1">
      <protection locked="0"/>
    </xf>
    <xf numFmtId="0" fontId="18" fillId="14" borderId="0" xfId="0" applyFont="1" applyFill="1" applyProtection="1">
      <protection locked="0"/>
    </xf>
    <xf numFmtId="0" fontId="26" fillId="15" borderId="19" xfId="0" applyFont="1" applyFill="1" applyBorder="1" applyProtection="1">
      <protection locked="0"/>
    </xf>
    <xf numFmtId="0" fontId="18" fillId="17" borderId="0" xfId="0" applyFont="1" applyFill="1" applyProtection="1"/>
    <xf numFmtId="0" fontId="24" fillId="17" borderId="0" xfId="0" applyFont="1" applyFill="1" applyProtection="1"/>
    <xf numFmtId="0" fontId="24" fillId="17" borderId="0" xfId="0" applyFont="1" applyFill="1" applyAlignment="1" applyProtection="1">
      <alignment horizontal="center"/>
    </xf>
    <xf numFmtId="0" fontId="18" fillId="13" borderId="0" xfId="0" applyFont="1" applyFill="1" applyProtection="1"/>
    <xf numFmtId="0" fontId="18" fillId="0" borderId="0" xfId="0" applyFont="1" applyProtection="1"/>
    <xf numFmtId="0" fontId="24" fillId="13" borderId="0" xfId="0" applyFont="1" applyFill="1" applyProtection="1"/>
    <xf numFmtId="0" fontId="18" fillId="13" borderId="0" xfId="0" applyFont="1" applyFill="1" applyAlignment="1" applyProtection="1">
      <alignment horizontal="center"/>
    </xf>
    <xf numFmtId="0" fontId="18" fillId="14" borderId="0" xfId="0" applyFont="1" applyFill="1" applyProtection="1"/>
    <xf numFmtId="0" fontId="26" fillId="14" borderId="0" xfId="0" applyFont="1" applyFill="1" applyProtection="1"/>
    <xf numFmtId="0" fontId="24" fillId="14" borderId="0" xfId="0" applyFont="1" applyFill="1" applyProtection="1"/>
    <xf numFmtId="0" fontId="26" fillId="0" borderId="0" xfId="0" applyFont="1" applyProtection="1"/>
    <xf numFmtId="0" fontId="18" fillId="14" borderId="0" xfId="0" applyFont="1" applyFill="1" applyAlignment="1" applyProtection="1">
      <alignment vertical="top"/>
    </xf>
    <xf numFmtId="0" fontId="24" fillId="14" borderId="0" xfId="0" applyFont="1" applyFill="1" applyAlignment="1" applyProtection="1">
      <alignment horizontal="left" vertical="top" wrapText="1"/>
    </xf>
    <xf numFmtId="0" fontId="18" fillId="14" borderId="0" xfId="0" applyFont="1" applyFill="1" applyAlignment="1" applyProtection="1">
      <alignment vertical="center"/>
    </xf>
    <xf numFmtId="0" fontId="24" fillId="14" borderId="0" xfId="0" applyFont="1" applyFill="1" applyAlignment="1" applyProtection="1">
      <alignment vertical="center" wrapText="1"/>
    </xf>
    <xf numFmtId="0" fontId="24" fillId="14" borderId="0" xfId="0" applyFont="1" applyFill="1" applyAlignment="1" applyProtection="1">
      <alignment horizontal="left" vertical="center" wrapText="1"/>
    </xf>
    <xf numFmtId="0" fontId="24" fillId="14" borderId="0" xfId="0" applyFont="1" applyFill="1" applyAlignment="1" applyProtection="1">
      <alignment wrapText="1"/>
    </xf>
    <xf numFmtId="0" fontId="18" fillId="16" borderId="0" xfId="0" applyFont="1" applyFill="1" applyProtection="1"/>
    <xf numFmtId="0" fontId="24" fillId="16" borderId="0" xfId="0" applyFont="1" applyFill="1" applyProtection="1"/>
    <xf numFmtId="0" fontId="26" fillId="16" borderId="0" xfId="0" applyFont="1" applyFill="1" applyProtection="1"/>
    <xf numFmtId="0" fontId="1" fillId="0" borderId="0" xfId="0" applyFont="1" applyAlignment="1" applyProtection="1">
      <alignment horizontal="center"/>
      <protection locked="0"/>
    </xf>
    <xf numFmtId="0" fontId="1" fillId="0" borderId="0" xfId="0" applyFont="1" applyAlignment="1" applyProtection="1">
      <alignment horizontal="left"/>
      <protection locked="0"/>
    </xf>
    <xf numFmtId="3" fontId="2" fillId="0" borderId="22" xfId="0" applyNumberFormat="1" applyFont="1" applyBorder="1" applyProtection="1">
      <protection locked="0"/>
    </xf>
    <xf numFmtId="0" fontId="2" fillId="0" borderId="23" xfId="0" applyFont="1" applyBorder="1" applyProtection="1">
      <protection locked="0"/>
    </xf>
    <xf numFmtId="0" fontId="2" fillId="0" borderId="24" xfId="0" applyFont="1" applyBorder="1" applyProtection="1">
      <protection locked="0"/>
    </xf>
    <xf numFmtId="0" fontId="2" fillId="0" borderId="0" xfId="0" applyFont="1" applyProtection="1">
      <protection locked="0"/>
    </xf>
    <xf numFmtId="0" fontId="0" fillId="0" borderId="0" xfId="0" applyProtection="1">
      <protection locked="0"/>
    </xf>
    <xf numFmtId="3" fontId="2" fillId="0" borderId="24" xfId="0" applyNumberFormat="1" applyFont="1" applyBorder="1" applyProtection="1">
      <protection locked="0"/>
    </xf>
    <xf numFmtId="3" fontId="2" fillId="0" borderId="23" xfId="0" applyNumberFormat="1" applyFont="1" applyBorder="1" applyProtection="1">
      <protection locked="0"/>
    </xf>
    <xf numFmtId="0" fontId="1" fillId="0" borderId="0" xfId="0" applyFont="1" applyProtection="1">
      <protection locked="0"/>
    </xf>
    <xf numFmtId="0" fontId="1" fillId="0" borderId="0" xfId="0" applyFont="1" applyAlignment="1" applyProtection="1">
      <alignment horizontal="right"/>
      <protection locked="0"/>
    </xf>
    <xf numFmtId="0" fontId="14" fillId="0" borderId="0" xfId="0" applyFont="1" applyAlignment="1" applyProtection="1">
      <alignment horizontal="right" vertical="center"/>
      <protection locked="0"/>
    </xf>
    <xf numFmtId="3" fontId="2" fillId="0" borderId="26" xfId="0" applyNumberFormat="1" applyFont="1" applyBorder="1" applyProtection="1">
      <protection locked="0"/>
    </xf>
    <xf numFmtId="0" fontId="2" fillId="0" borderId="27" xfId="0" applyFont="1" applyBorder="1" applyProtection="1">
      <protection locked="0"/>
    </xf>
    <xf numFmtId="0" fontId="2" fillId="0" borderId="28" xfId="0" applyFont="1" applyBorder="1" applyProtection="1">
      <protection locked="0"/>
    </xf>
    <xf numFmtId="3" fontId="2" fillId="0" borderId="29" xfId="0" applyNumberFormat="1" applyFont="1" applyBorder="1" applyProtection="1">
      <protection locked="0"/>
    </xf>
    <xf numFmtId="3" fontId="2" fillId="0" borderId="30" xfId="0" applyNumberFormat="1" applyFont="1" applyBorder="1" applyProtection="1">
      <protection locked="0"/>
    </xf>
    <xf numFmtId="0" fontId="2" fillId="0" borderId="30" xfId="0" applyFont="1" applyBorder="1" applyProtection="1">
      <protection locked="0"/>
    </xf>
    <xf numFmtId="1" fontId="2" fillId="0" borderId="30" xfId="0" applyNumberFormat="1" applyFont="1" applyBorder="1" applyProtection="1">
      <protection locked="0"/>
    </xf>
    <xf numFmtId="3" fontId="2" fillId="0" borderId="0" xfId="0" applyNumberFormat="1" applyFont="1" applyProtection="1">
      <protection locked="0"/>
    </xf>
    <xf numFmtId="3" fontId="0" fillId="0" borderId="0" xfId="0" applyNumberFormat="1" applyProtection="1">
      <protection locked="0"/>
    </xf>
    <xf numFmtId="0" fontId="3" fillId="0" borderId="0" xfId="0" applyFont="1" applyAlignment="1" applyProtection="1">
      <alignment horizontal="left"/>
      <protection locked="0"/>
    </xf>
    <xf numFmtId="3" fontId="15" fillId="0" borderId="22" xfId="0" applyNumberFormat="1" applyFont="1" applyBorder="1" applyProtection="1">
      <protection locked="0"/>
    </xf>
    <xf numFmtId="0" fontId="1" fillId="0" borderId="25" xfId="0" applyFont="1" applyBorder="1" applyProtection="1">
      <protection locked="0"/>
    </xf>
    <xf numFmtId="0" fontId="3" fillId="0" borderId="0" xfId="0" applyFont="1" applyProtection="1">
      <protection locked="0"/>
    </xf>
    <xf numFmtId="0" fontId="1" fillId="0" borderId="25" xfId="0" applyFont="1" applyBorder="1" applyAlignment="1" applyProtection="1">
      <alignment horizontal="left"/>
      <protection locked="0"/>
    </xf>
    <xf numFmtId="0" fontId="2" fillId="0" borderId="25" xfId="0" applyFont="1" applyBorder="1" applyProtection="1">
      <protection locked="0"/>
    </xf>
    <xf numFmtId="0" fontId="0" fillId="0" borderId="25" xfId="0" applyBorder="1" applyProtection="1">
      <protection locked="0"/>
    </xf>
    <xf numFmtId="0" fontId="1" fillId="0" borderId="25" xfId="0" applyFont="1" applyBorder="1" applyAlignment="1" applyProtection="1">
      <alignment horizontal="right"/>
      <protection locked="0"/>
    </xf>
    <xf numFmtId="3" fontId="16" fillId="0" borderId="22" xfId="0" applyNumberFormat="1" applyFont="1" applyBorder="1" applyProtection="1">
      <protection locked="0"/>
    </xf>
    <xf numFmtId="0" fontId="12" fillId="0" borderId="0" xfId="0" applyFont="1" applyProtection="1">
      <protection locked="0"/>
    </xf>
    <xf numFmtId="3" fontId="17" fillId="0" borderId="22" xfId="0" applyNumberFormat="1" applyFont="1" applyBorder="1" applyProtection="1">
      <protection locked="0"/>
    </xf>
    <xf numFmtId="0" fontId="3" fillId="0" borderId="0" xfId="0" applyFont="1" applyFill="1" applyBorder="1" applyAlignment="1" applyProtection="1">
      <protection locked="0"/>
    </xf>
    <xf numFmtId="0" fontId="12" fillId="0" borderId="0" xfId="0" applyFont="1" applyAlignment="1" applyProtection="1">
      <alignment horizontal="left"/>
      <protection locked="0"/>
    </xf>
    <xf numFmtId="0" fontId="13" fillId="0" borderId="0" xfId="0" applyFont="1" applyProtection="1">
      <protection locked="0"/>
    </xf>
    <xf numFmtId="0" fontId="1" fillId="0" borderId="25" xfId="0" applyFont="1" applyBorder="1" applyAlignment="1" applyProtection="1">
      <alignment horizontal="center"/>
      <protection locked="0"/>
    </xf>
    <xf numFmtId="0" fontId="11" fillId="0" borderId="0" xfId="0" applyFont="1" applyProtection="1">
      <protection locked="0"/>
    </xf>
    <xf numFmtId="1" fontId="0" fillId="0" borderId="0" xfId="0" applyNumberFormat="1" applyProtection="1">
      <protection locked="0"/>
    </xf>
    <xf numFmtId="166" fontId="0" fillId="0" borderId="0" xfId="0" applyNumberFormat="1" applyProtection="1">
      <protection locked="0"/>
    </xf>
    <xf numFmtId="2" fontId="0" fillId="0" borderId="0" xfId="0" applyNumberFormat="1" applyProtection="1">
      <protection locked="0"/>
    </xf>
    <xf numFmtId="0" fontId="0" fillId="14" borderId="0" xfId="0" applyFill="1" applyProtection="1">
      <protection locked="0"/>
    </xf>
    <xf numFmtId="0" fontId="4" fillId="2" borderId="1" xfId="0" applyFont="1" applyFill="1" applyBorder="1" applyAlignment="1" applyProtection="1">
      <alignment horizontal="center" vertical="center" wrapText="1"/>
      <protection locked="0"/>
    </xf>
    <xf numFmtId="165" fontId="4" fillId="3" borderId="1" xfId="0" applyNumberFormat="1" applyFont="1" applyFill="1" applyBorder="1" applyAlignment="1" applyProtection="1">
      <alignment horizontal="center" vertical="center" wrapText="1"/>
      <protection locked="0"/>
    </xf>
    <xf numFmtId="165" fontId="4" fillId="5"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65" fontId="5" fillId="0" borderId="17" xfId="0" applyNumberFormat="1" applyFont="1" applyBorder="1" applyAlignment="1" applyProtection="1">
      <alignment horizontal="center" wrapText="1"/>
      <protection locked="0"/>
    </xf>
    <xf numFmtId="0" fontId="5" fillId="0" borderId="17" xfId="0" applyFont="1" applyBorder="1" applyAlignment="1" applyProtection="1">
      <alignment horizontal="right" wrapText="1"/>
      <protection locked="0"/>
    </xf>
    <xf numFmtId="165" fontId="4" fillId="6" borderId="1" xfId="0" applyNumberFormat="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165" fontId="4" fillId="0" borderId="1" xfId="0" applyNumberFormat="1" applyFont="1" applyBorder="1" applyAlignment="1" applyProtection="1">
      <alignment horizontal="center" wrapText="1"/>
      <protection locked="0"/>
    </xf>
    <xf numFmtId="0" fontId="4" fillId="0" borderId="1" xfId="0" applyFont="1" applyBorder="1" applyAlignment="1" applyProtection="1">
      <alignment wrapText="1"/>
      <protection locked="0"/>
    </xf>
    <xf numFmtId="0" fontId="4" fillId="0" borderId="6" xfId="0" applyFont="1" applyBorder="1" applyAlignment="1" applyProtection="1">
      <alignment vertical="center" wrapText="1"/>
      <protection locked="0"/>
    </xf>
    <xf numFmtId="165" fontId="4" fillId="8" borderId="1" xfId="0" applyNumberFormat="1" applyFont="1" applyFill="1" applyBorder="1" applyAlignment="1" applyProtection="1">
      <alignment horizontal="center" wrapText="1"/>
      <protection locked="0"/>
    </xf>
    <xf numFmtId="0" fontId="4" fillId="8" borderId="1" xfId="0" applyFont="1" applyFill="1" applyBorder="1" applyAlignment="1" applyProtection="1">
      <alignment horizontal="right" wrapText="1"/>
      <protection locked="0"/>
    </xf>
    <xf numFmtId="0" fontId="4" fillId="8" borderId="1" xfId="0" applyFont="1" applyFill="1" applyBorder="1" applyAlignment="1" applyProtection="1">
      <alignment horizontal="center" wrapText="1"/>
      <protection locked="0"/>
    </xf>
    <xf numFmtId="0" fontId="6" fillId="8" borderId="1" xfId="0" applyFont="1" applyFill="1" applyBorder="1" applyAlignment="1" applyProtection="1">
      <alignment horizontal="center" wrapText="1"/>
      <protection locked="0"/>
    </xf>
    <xf numFmtId="0" fontId="7" fillId="0" borderId="1" xfId="0" applyFont="1" applyBorder="1" applyAlignment="1" applyProtection="1">
      <alignment horizontal="center" wrapText="1"/>
      <protection locked="0"/>
    </xf>
    <xf numFmtId="0" fontId="8" fillId="0" borderId="16" xfId="0" applyFont="1" applyBorder="1" applyAlignment="1" applyProtection="1">
      <alignment wrapText="1"/>
      <protection locked="0"/>
    </xf>
    <xf numFmtId="165" fontId="8" fillId="0" borderId="16" xfId="0" applyNumberFormat="1" applyFont="1" applyBorder="1" applyAlignment="1" applyProtection="1">
      <alignment horizontal="center" wrapText="1"/>
      <protection locked="0"/>
    </xf>
    <xf numFmtId="0" fontId="5" fillId="0" borderId="17" xfId="0" applyFont="1" applyBorder="1" applyAlignment="1" applyProtection="1">
      <alignment wrapText="1"/>
      <protection locked="0"/>
    </xf>
    <xf numFmtId="165" fontId="5" fillId="8" borderId="17" xfId="0" applyNumberFormat="1" applyFont="1" applyFill="1" applyBorder="1" applyAlignment="1" applyProtection="1">
      <alignment horizontal="center" wrapText="1"/>
      <protection locked="0"/>
    </xf>
    <xf numFmtId="164" fontId="0" fillId="0" borderId="0" xfId="0" applyNumberFormat="1" applyProtection="1">
      <protection locked="0"/>
    </xf>
    <xf numFmtId="0" fontId="5" fillId="8" borderId="17" xfId="0" applyFont="1" applyFill="1" applyBorder="1" applyAlignment="1" applyProtection="1">
      <alignment wrapText="1"/>
      <protection locked="0"/>
    </xf>
    <xf numFmtId="3" fontId="5" fillId="0" borderId="17" xfId="0" applyNumberFormat="1" applyFont="1" applyBorder="1" applyAlignment="1" applyProtection="1">
      <alignment wrapText="1"/>
      <protection locked="0"/>
    </xf>
    <xf numFmtId="0" fontId="4" fillId="9" borderId="1" xfId="0" applyFont="1" applyFill="1" applyBorder="1" applyAlignment="1" applyProtection="1">
      <alignment wrapText="1"/>
      <protection locked="0"/>
    </xf>
    <xf numFmtId="165" fontId="4" fillId="0" borderId="18" xfId="0" applyNumberFormat="1" applyFont="1" applyBorder="1" applyAlignment="1" applyProtection="1">
      <alignment horizontal="center" wrapText="1"/>
      <protection locked="0"/>
    </xf>
    <xf numFmtId="0" fontId="4" fillId="0" borderId="18" xfId="0" applyFont="1" applyBorder="1" applyAlignment="1" applyProtection="1">
      <alignment wrapText="1"/>
      <protection locked="0"/>
    </xf>
    <xf numFmtId="0" fontId="4" fillId="0" borderId="18" xfId="0" applyFont="1" applyBorder="1" applyAlignment="1" applyProtection="1">
      <alignment horizontal="right" wrapText="1"/>
      <protection locked="0"/>
    </xf>
    <xf numFmtId="165" fontId="8" fillId="0" borderId="17" xfId="0" applyNumberFormat="1" applyFont="1" applyBorder="1" applyAlignment="1" applyProtection="1">
      <alignment horizontal="center" wrapText="1"/>
      <protection locked="0"/>
    </xf>
    <xf numFmtId="0" fontId="8" fillId="0" borderId="18" xfId="0" applyFont="1" applyBorder="1" applyAlignment="1" applyProtection="1">
      <alignment vertical="center"/>
      <protection locked="0"/>
    </xf>
    <xf numFmtId="0" fontId="8" fillId="0" borderId="17" xfId="0" applyFont="1" applyBorder="1" applyAlignment="1" applyProtection="1">
      <alignment wrapText="1"/>
      <protection locked="0"/>
    </xf>
    <xf numFmtId="0" fontId="4" fillId="0" borderId="17" xfId="0" applyFont="1" applyBorder="1" applyAlignment="1" applyProtection="1">
      <alignment wrapText="1"/>
      <protection locked="0"/>
    </xf>
    <xf numFmtId="165" fontId="9" fillId="0" borderId="12" xfId="0" applyNumberFormat="1" applyFont="1" applyBorder="1" applyAlignment="1" applyProtection="1">
      <alignment horizontal="center" wrapText="1"/>
      <protection locked="0"/>
    </xf>
    <xf numFmtId="0" fontId="9" fillId="0" borderId="12" xfId="0" applyFont="1" applyBorder="1" applyAlignment="1" applyProtection="1">
      <alignment horizontal="right" wrapText="1"/>
      <protection locked="0"/>
    </xf>
    <xf numFmtId="0" fontId="11" fillId="16" borderId="0" xfId="0" applyFont="1" applyFill="1" applyProtection="1">
      <protection locked="0"/>
    </xf>
    <xf numFmtId="165" fontId="0" fillId="0" borderId="0" xfId="0" applyNumberFormat="1" applyAlignment="1" applyProtection="1">
      <alignment horizontal="center"/>
      <protection locked="0"/>
    </xf>
    <xf numFmtId="167" fontId="18" fillId="15" borderId="20" xfId="0" applyNumberFormat="1" applyFont="1" applyFill="1" applyBorder="1" applyAlignment="1" applyProtection="1">
      <alignment horizontal="right"/>
      <protection locked="0"/>
    </xf>
    <xf numFmtId="167" fontId="18" fillId="15" borderId="21" xfId="0" applyNumberFormat="1" applyFont="1" applyFill="1" applyBorder="1" applyAlignment="1" applyProtection="1">
      <alignment horizontal="right"/>
      <protection locked="0"/>
    </xf>
    <xf numFmtId="0" fontId="25" fillId="15" borderId="20" xfId="0" applyFont="1" applyFill="1" applyBorder="1" applyAlignment="1" applyProtection="1">
      <alignment horizontal="left"/>
      <protection locked="0"/>
    </xf>
    <xf numFmtId="0" fontId="18" fillId="15" borderId="21" xfId="0" applyFont="1" applyFill="1" applyBorder="1" applyAlignment="1" applyProtection="1">
      <alignment horizontal="left"/>
      <protection locked="0"/>
    </xf>
    <xf numFmtId="0" fontId="18" fillId="17" borderId="0" xfId="0" applyFont="1" applyFill="1" applyAlignment="1">
      <alignment horizontal="center"/>
    </xf>
    <xf numFmtId="0" fontId="18" fillId="14" borderId="0" xfId="0" applyFont="1" applyFill="1" applyAlignment="1">
      <alignment horizontal="left" wrapText="1"/>
    </xf>
    <xf numFmtId="0" fontId="0" fillId="0" borderId="0" xfId="0" applyAlignment="1" applyProtection="1">
      <alignment horizontal="center"/>
      <protection locked="0"/>
    </xf>
    <xf numFmtId="0" fontId="4" fillId="7" borderId="5" xfId="0" applyFont="1" applyFill="1" applyBorder="1" applyAlignment="1" applyProtection="1">
      <alignment vertical="center" wrapText="1"/>
      <protection locked="0"/>
    </xf>
    <xf numFmtId="0" fontId="4" fillId="7" borderId="7" xfId="0" applyFont="1" applyFill="1" applyBorder="1" applyAlignment="1" applyProtection="1">
      <alignment vertical="center" wrapText="1"/>
      <protection locked="0"/>
    </xf>
    <xf numFmtId="0" fontId="4" fillId="7" borderId="6" xfId="0" applyFont="1" applyFill="1" applyBorder="1" applyAlignment="1" applyProtection="1">
      <alignment vertical="center" wrapText="1"/>
      <protection locked="0"/>
    </xf>
    <xf numFmtId="0" fontId="4" fillId="9" borderId="5" xfId="0" applyFont="1" applyFill="1" applyBorder="1" applyAlignment="1" applyProtection="1">
      <alignment vertical="center" wrapText="1"/>
      <protection locked="0"/>
    </xf>
    <xf numFmtId="0" fontId="4" fillId="9" borderId="7" xfId="0" applyFont="1" applyFill="1" applyBorder="1" applyAlignment="1" applyProtection="1">
      <alignment vertical="center" wrapText="1"/>
      <protection locked="0"/>
    </xf>
    <xf numFmtId="0" fontId="4" fillId="9" borderId="6" xfId="0" applyFont="1" applyFill="1" applyBorder="1" applyAlignment="1" applyProtection="1">
      <alignment vertical="center" wrapText="1"/>
      <protection locked="0"/>
    </xf>
    <xf numFmtId="0" fontId="4" fillId="10" borderId="5" xfId="0" applyFont="1" applyFill="1" applyBorder="1" applyAlignment="1" applyProtection="1">
      <alignment vertical="center" wrapText="1"/>
      <protection locked="0"/>
    </xf>
    <xf numFmtId="0" fontId="4" fillId="10" borderId="7" xfId="0" applyFont="1" applyFill="1" applyBorder="1" applyAlignment="1" applyProtection="1">
      <alignment vertical="center" wrapText="1"/>
      <protection locked="0"/>
    </xf>
    <xf numFmtId="0" fontId="4" fillId="10" borderId="6" xfId="0" applyFont="1" applyFill="1" applyBorder="1" applyAlignment="1" applyProtection="1">
      <alignment vertical="center" wrapText="1"/>
      <protection locked="0"/>
    </xf>
    <xf numFmtId="0" fontId="4" fillId="11" borderId="5" xfId="0" applyFont="1" applyFill="1" applyBorder="1" applyAlignment="1" applyProtection="1">
      <alignment vertical="center" wrapText="1"/>
      <protection locked="0"/>
    </xf>
    <xf numFmtId="0" fontId="4" fillId="11" borderId="7" xfId="0" applyFont="1" applyFill="1" applyBorder="1" applyAlignment="1" applyProtection="1">
      <alignment vertical="center" wrapText="1"/>
      <protection locked="0"/>
    </xf>
    <xf numFmtId="0" fontId="4" fillId="11" borderId="6" xfId="0" applyFont="1" applyFill="1" applyBorder="1" applyAlignment="1" applyProtection="1">
      <alignment vertical="center" wrapText="1"/>
      <protection locked="0"/>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12" borderId="13" xfId="0" applyFont="1" applyFill="1" applyBorder="1" applyAlignment="1" applyProtection="1">
      <alignment vertical="center" wrapText="1"/>
      <protection locked="0"/>
    </xf>
    <xf numFmtId="0" fontId="4" fillId="12" borderId="14" xfId="0" applyFont="1" applyFill="1" applyBorder="1" applyAlignment="1" applyProtection="1">
      <alignment vertical="center" wrapText="1"/>
      <protection locked="0"/>
    </xf>
    <xf numFmtId="0" fontId="4" fillId="12" borderId="15" xfId="0" applyFont="1" applyFill="1" applyBorder="1" applyAlignment="1" applyProtection="1">
      <alignment vertical="center" wrapText="1"/>
      <protection locked="0"/>
    </xf>
    <xf numFmtId="0" fontId="4" fillId="7" borderId="13" xfId="0" applyFont="1" applyFill="1" applyBorder="1" applyAlignment="1" applyProtection="1">
      <alignment vertical="center" wrapText="1"/>
      <protection locked="0"/>
    </xf>
    <xf numFmtId="0" fontId="4" fillId="7" borderId="14" xfId="0" applyFont="1" applyFill="1" applyBorder="1" applyAlignment="1" applyProtection="1">
      <alignment vertical="center" wrapText="1"/>
      <protection locked="0"/>
    </xf>
    <xf numFmtId="0" fontId="4" fillId="7" borderId="15"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tonCO</a:t>
            </a:r>
            <a:r>
              <a:rPr lang="en-US" baseline="-25000">
                <a:latin typeface="Arial" panose="020B0604020202020204" pitchFamily="34" charset="0"/>
                <a:cs typeface="Arial" panose="020B0604020202020204" pitchFamily="34" charset="0"/>
              </a:rPr>
              <a:t>2</a:t>
            </a:r>
            <a:r>
              <a:rPr lang="en-US">
                <a:latin typeface="Arial" panose="020B0604020202020204" pitchFamily="34" charset="0"/>
                <a:cs typeface="Arial" panose="020B0604020202020204" pitchFamily="34" charset="0"/>
              </a:rPr>
              <a:t>eq</a:t>
            </a:r>
          </a:p>
        </c:rich>
      </c:tx>
      <c:spPr>
        <a:noFill/>
        <a:ln>
          <a:noFill/>
        </a:ln>
        <a:effectLst/>
      </c:spPr>
    </c:title>
    <c:plotArea>
      <c:layout/>
      <c:barChart>
        <c:barDir val="col"/>
        <c:grouping val="clustered"/>
        <c:ser>
          <c:idx val="1"/>
          <c:order val="0"/>
          <c:tx>
            <c:strRef>
              <c:f>Resultados!$D$17</c:f>
              <c:strCache>
                <c:ptCount val="1"/>
                <c:pt idx="0">
                  <c:v>tonCO2eq</c:v>
                </c:pt>
              </c:strCache>
            </c:strRef>
          </c:tx>
          <c:spPr>
            <a:solidFill>
              <a:schemeClr val="accent2"/>
            </a:solidFill>
            <a:ln>
              <a:noFill/>
            </a:ln>
            <a:effectLst/>
          </c:spPr>
          <c:cat>
            <c:strRef>
              <c:f>Resultados!$C$18:$C$23</c:f>
              <c:strCache>
                <c:ptCount val="6"/>
                <c:pt idx="0">
                  <c:v>Transporte</c:v>
                </c:pt>
                <c:pt idx="1">
                  <c:v>Hospedaje</c:v>
                </c:pt>
                <c:pt idx="2">
                  <c:v>Electricidad generada y consumida</c:v>
                </c:pt>
                <c:pt idx="3">
                  <c:v>Catering </c:v>
                </c:pt>
                <c:pt idx="4">
                  <c:v>Escenografía</c:v>
                </c:pt>
                <c:pt idx="5">
                  <c:v>Adquisición y alquiler de maquinaría y elementos para el rodaje</c:v>
                </c:pt>
              </c:strCache>
            </c:strRef>
          </c:cat>
          <c:val>
            <c:numRef>
              <c:f>Resultados!$D$18:$D$23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EFB-4AE4-B6D2-D7F1B52FD885}"/>
            </c:ext>
          </c:extLst>
        </c:ser>
        <c:dLbls/>
        <c:gapWidth val="219"/>
        <c:overlap val="-27"/>
        <c:axId val="77234176"/>
        <c:axId val="77235712"/>
        <c:extLst xmlns:c16r2="http://schemas.microsoft.com/office/drawing/2015/06/chart"/>
      </c:barChart>
      <c:catAx>
        <c:axId val="7723417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77235712"/>
        <c:crosses val="autoZero"/>
        <c:auto val="1"/>
        <c:lblAlgn val="ctr"/>
        <c:lblOffset val="100"/>
      </c:catAx>
      <c:valAx>
        <c:axId val="7723571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234176"/>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tonCO</a:t>
            </a:r>
            <a:r>
              <a:rPr lang="en-US" baseline="-25000">
                <a:latin typeface="Arial" panose="020B0604020202020204" pitchFamily="34" charset="0"/>
                <a:cs typeface="Arial" panose="020B0604020202020204" pitchFamily="34" charset="0"/>
              </a:rPr>
              <a:t>2</a:t>
            </a:r>
            <a:r>
              <a:rPr lang="en-US">
                <a:latin typeface="Arial" panose="020B0604020202020204" pitchFamily="34" charset="0"/>
                <a:cs typeface="Arial" panose="020B0604020202020204" pitchFamily="34" charset="0"/>
              </a:rPr>
              <a:t>eq</a:t>
            </a:r>
          </a:p>
        </c:rich>
      </c:tx>
      <c:spPr>
        <a:noFill/>
        <a:ln>
          <a:noFill/>
        </a:ln>
        <a:effectLst/>
      </c:spPr>
    </c:title>
    <c:plotArea>
      <c:layout/>
      <c:barChart>
        <c:barDir val="col"/>
        <c:grouping val="clustered"/>
        <c:ser>
          <c:idx val="1"/>
          <c:order val="0"/>
          <c:tx>
            <c:strRef>
              <c:f>Resultados!$L$17</c:f>
              <c:strCache>
                <c:ptCount val="1"/>
                <c:pt idx="0">
                  <c:v>tonCO2eq</c:v>
                </c:pt>
              </c:strCache>
            </c:strRef>
          </c:tx>
          <c:spPr>
            <a:solidFill>
              <a:schemeClr val="accent2"/>
            </a:solidFill>
            <a:ln>
              <a:noFill/>
            </a:ln>
            <a:effectLst/>
          </c:spPr>
          <c:cat>
            <c:strRef>
              <c:f>Resultados!$K$18:$K$20</c:f>
              <c:strCache>
                <c:ptCount val="3"/>
                <c:pt idx="0">
                  <c:v>Preproducción</c:v>
                </c:pt>
                <c:pt idx="1">
                  <c:v>Producción</c:v>
                </c:pt>
                <c:pt idx="2">
                  <c:v>Postproducción</c:v>
                </c:pt>
              </c:strCache>
            </c:strRef>
          </c:cat>
          <c:val>
            <c:numRef>
              <c:f>Resultados!$L$18:$L$20</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007-4461-B538-BC2302D87504}"/>
            </c:ext>
          </c:extLst>
        </c:ser>
        <c:dLbls/>
        <c:gapWidth val="219"/>
        <c:overlap val="-27"/>
        <c:axId val="91305856"/>
        <c:axId val="91307392"/>
        <c:extLst xmlns:c16r2="http://schemas.microsoft.com/office/drawing/2015/06/chart"/>
      </c:barChart>
      <c:catAx>
        <c:axId val="9130585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307392"/>
        <c:crosses val="autoZero"/>
        <c:auto val="1"/>
        <c:lblAlgn val="ctr"/>
        <c:lblOffset val="100"/>
      </c:catAx>
      <c:valAx>
        <c:axId val="9130739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305856"/>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www.culturaydeporte.gob.es/mecd/cultura-mecd/areas-cultura/cine/informacion-servicios/in/procedimientos-administrativos/presupuesto-coste-pelicula"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greenglobe.es/" TargetMode="External"/><Relationship Id="rId6" Type="http://schemas.openxmlformats.org/officeDocument/2006/relationships/image" Target="../media/image4.emf"/><Relationship Id="rId5" Type="http://schemas.openxmlformats.org/officeDocument/2006/relationships/image" Target="../media/image3.emf"/><Relationship Id="rId10" Type="http://schemas.openxmlformats.org/officeDocument/2006/relationships/image" Target="../media/image8.png"/><Relationship Id="rId4" Type="http://schemas.openxmlformats.org/officeDocument/2006/relationships/image" Target="../media/image2.png"/><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sv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image" Target="../media/image21.png"/><Relationship Id="rId18" Type="http://schemas.openxmlformats.org/officeDocument/2006/relationships/image" Target="../media/image28.svg"/><Relationship Id="rId26" Type="http://schemas.openxmlformats.org/officeDocument/2006/relationships/image" Target="../media/image36.svg"/><Relationship Id="rId3" Type="http://schemas.openxmlformats.org/officeDocument/2006/relationships/image" Target="../media/image15.png"/><Relationship Id="rId21" Type="http://schemas.openxmlformats.org/officeDocument/2006/relationships/image" Target="../media/image25.png"/><Relationship Id="rId7" Type="http://schemas.openxmlformats.org/officeDocument/2006/relationships/image" Target="../media/image17.png"/><Relationship Id="rId12" Type="http://schemas.openxmlformats.org/officeDocument/2006/relationships/image" Target="../media/image20.png"/><Relationship Id="rId17" Type="http://schemas.openxmlformats.org/officeDocument/2006/relationships/image" Target="../media/image23.png"/><Relationship Id="rId25" Type="http://schemas.openxmlformats.org/officeDocument/2006/relationships/image" Target="../media/image27.png"/><Relationship Id="rId2" Type="http://schemas.openxmlformats.org/officeDocument/2006/relationships/image" Target="../media/image14.svg"/><Relationship Id="rId16" Type="http://schemas.openxmlformats.org/officeDocument/2006/relationships/image" Target="../media/image26.svg"/><Relationship Id="rId20" Type="http://schemas.openxmlformats.org/officeDocument/2006/relationships/image" Target="../media/image30.svg"/><Relationship Id="rId29" Type="http://schemas.openxmlformats.org/officeDocument/2006/relationships/image" Target="../media/image29.png"/><Relationship Id="rId1" Type="http://schemas.openxmlformats.org/officeDocument/2006/relationships/image" Target="../media/image14.png"/><Relationship Id="rId6" Type="http://schemas.openxmlformats.org/officeDocument/2006/relationships/image" Target="../media/image18.svg"/><Relationship Id="rId11" Type="http://schemas.openxmlformats.org/officeDocument/2006/relationships/image" Target="../media/image19.png"/><Relationship Id="rId24" Type="http://schemas.openxmlformats.org/officeDocument/2006/relationships/image" Target="../media/image34.svg"/><Relationship Id="rId5" Type="http://schemas.openxmlformats.org/officeDocument/2006/relationships/image" Target="../media/image16.png"/><Relationship Id="rId15" Type="http://schemas.openxmlformats.org/officeDocument/2006/relationships/image" Target="../media/image22.png"/><Relationship Id="rId23" Type="http://schemas.openxmlformats.org/officeDocument/2006/relationships/image" Target="../media/image26.png"/><Relationship Id="rId28" Type="http://schemas.openxmlformats.org/officeDocument/2006/relationships/image" Target="../media/image38.svg"/><Relationship Id="rId10" Type="http://schemas.openxmlformats.org/officeDocument/2006/relationships/image" Target="../media/image22.svg"/><Relationship Id="rId19" Type="http://schemas.openxmlformats.org/officeDocument/2006/relationships/image" Target="../media/image24.png"/><Relationship Id="rId4" Type="http://schemas.openxmlformats.org/officeDocument/2006/relationships/image" Target="../media/image16.svg"/><Relationship Id="rId9" Type="http://schemas.openxmlformats.org/officeDocument/2006/relationships/image" Target="../media/image18.png"/><Relationship Id="rId14" Type="http://schemas.openxmlformats.org/officeDocument/2006/relationships/image" Target="../media/image24.svg"/><Relationship Id="rId22" Type="http://schemas.openxmlformats.org/officeDocument/2006/relationships/image" Target="../media/image32.svg"/><Relationship Id="rId27" Type="http://schemas.openxmlformats.org/officeDocument/2006/relationships/image" Target="../media/image28.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13" Type="http://schemas.openxmlformats.org/officeDocument/2006/relationships/image" Target="../media/image24.svg"/><Relationship Id="rId18" Type="http://schemas.openxmlformats.org/officeDocument/2006/relationships/image" Target="../media/image24.png"/><Relationship Id="rId26" Type="http://schemas.openxmlformats.org/officeDocument/2006/relationships/image" Target="../media/image33.png"/><Relationship Id="rId3" Type="http://schemas.openxmlformats.org/officeDocument/2006/relationships/image" Target="../media/image14.svg"/><Relationship Id="rId21" Type="http://schemas.openxmlformats.org/officeDocument/2006/relationships/image" Target="../media/image32.svg"/><Relationship Id="rId7" Type="http://schemas.openxmlformats.org/officeDocument/2006/relationships/image" Target="../media/image18.svg"/><Relationship Id="rId12" Type="http://schemas.openxmlformats.org/officeDocument/2006/relationships/image" Target="../media/image31.png"/><Relationship Id="rId17" Type="http://schemas.openxmlformats.org/officeDocument/2006/relationships/image" Target="../media/image28.svg"/><Relationship Id="rId25" Type="http://schemas.openxmlformats.org/officeDocument/2006/relationships/chart" Target="../charts/chart2.xml"/><Relationship Id="rId33" Type="http://schemas.openxmlformats.org/officeDocument/2006/relationships/image" Target="../media/image38.svg"/><Relationship Id="rId2" Type="http://schemas.openxmlformats.org/officeDocument/2006/relationships/image" Target="../media/image14.png"/><Relationship Id="rId16" Type="http://schemas.openxmlformats.org/officeDocument/2006/relationships/image" Target="../media/image32.png"/><Relationship Id="rId20" Type="http://schemas.openxmlformats.org/officeDocument/2006/relationships/image" Target="../media/image25.png"/><Relationship Id="rId29" Type="http://schemas.openxmlformats.org/officeDocument/2006/relationships/image" Target="../media/image11.svg"/><Relationship Id="rId1" Type="http://schemas.openxmlformats.org/officeDocument/2006/relationships/image" Target="../media/image9.png"/><Relationship Id="rId6" Type="http://schemas.openxmlformats.org/officeDocument/2006/relationships/image" Target="../media/image16.png"/><Relationship Id="rId11" Type="http://schemas.openxmlformats.org/officeDocument/2006/relationships/image" Target="../media/image22.svg"/><Relationship Id="rId24" Type="http://schemas.openxmlformats.org/officeDocument/2006/relationships/chart" Target="../charts/chart1.xml"/><Relationship Id="rId32" Type="http://schemas.openxmlformats.org/officeDocument/2006/relationships/image" Target="../media/image28.png"/><Relationship Id="rId5" Type="http://schemas.openxmlformats.org/officeDocument/2006/relationships/image" Target="../media/image16.svg"/><Relationship Id="rId15" Type="http://schemas.openxmlformats.org/officeDocument/2006/relationships/image" Target="../media/image26.svg"/><Relationship Id="rId23" Type="http://schemas.openxmlformats.org/officeDocument/2006/relationships/image" Target="../media/image34.svg"/><Relationship Id="rId28" Type="http://schemas.openxmlformats.org/officeDocument/2006/relationships/image" Target="../media/image34.png"/><Relationship Id="rId10" Type="http://schemas.openxmlformats.org/officeDocument/2006/relationships/image" Target="../media/image18.png"/><Relationship Id="rId19" Type="http://schemas.openxmlformats.org/officeDocument/2006/relationships/image" Target="../media/image30.svg"/><Relationship Id="rId31" Type="http://schemas.openxmlformats.org/officeDocument/2006/relationships/image" Target="../media/image12.png"/><Relationship Id="rId4" Type="http://schemas.openxmlformats.org/officeDocument/2006/relationships/image" Target="../media/image30.png"/><Relationship Id="rId9" Type="http://schemas.openxmlformats.org/officeDocument/2006/relationships/image" Target="../media/image20.svg"/><Relationship Id="rId14" Type="http://schemas.openxmlformats.org/officeDocument/2006/relationships/image" Target="../media/image22.png"/><Relationship Id="rId22" Type="http://schemas.openxmlformats.org/officeDocument/2006/relationships/image" Target="../media/image26.png"/><Relationship Id="rId27" Type="http://schemas.openxmlformats.org/officeDocument/2006/relationships/image" Target="../media/image41.svg"/><Relationship Id="rId30"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twoCellAnchor>
    <xdr:from>
      <xdr:col>0</xdr:col>
      <xdr:colOff>63499</xdr:colOff>
      <xdr:row>28</xdr:row>
      <xdr:rowOff>154516</xdr:rowOff>
    </xdr:from>
    <xdr:to>
      <xdr:col>8</xdr:col>
      <xdr:colOff>35982</xdr:colOff>
      <xdr:row>34</xdr:row>
      <xdr:rowOff>169333</xdr:rowOff>
    </xdr:to>
    <xdr:sp macro="" textlink="">
      <xdr:nvSpPr>
        <xdr:cNvPr id="25" name="Rectángulo 24">
          <a:hlinkClick xmlns:r="http://schemas.openxmlformats.org/officeDocument/2006/relationships" r:id="rId1"/>
          <a:extLst>
            <a:ext uri="{FF2B5EF4-FFF2-40B4-BE49-F238E27FC236}">
              <a16:creationId xmlns:a16="http://schemas.microsoft.com/office/drawing/2014/main" xmlns="" id="{00000000-0008-0000-0000-000019000000}"/>
            </a:ext>
          </a:extLst>
        </xdr:cNvPr>
        <xdr:cNvSpPr/>
      </xdr:nvSpPr>
      <xdr:spPr>
        <a:xfrm>
          <a:off x="63499" y="5488516"/>
          <a:ext cx="6576483" cy="11578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latin typeface="Arial" panose="020B0604020202020204" pitchFamily="34" charset="0"/>
              <a:cs typeface="Arial" panose="020B0604020202020204" pitchFamily="34" charset="0"/>
            </a:rPr>
            <a:t>La</a:t>
          </a:r>
          <a:r>
            <a:rPr lang="en-US" sz="1100" baseline="0">
              <a:latin typeface="Arial" panose="020B0604020202020204" pitchFamily="34" charset="0"/>
              <a:cs typeface="Arial" panose="020B0604020202020204" pitchFamily="34" charset="0"/>
            </a:rPr>
            <a:t> herramienta de cálculo de la huella de carbono</a:t>
          </a:r>
        </a:p>
        <a:p>
          <a:pPr algn="l"/>
          <a:r>
            <a:rPr lang="en-US" sz="1100" baseline="0">
              <a:latin typeface="Arial" panose="020B0604020202020204" pitchFamily="34" charset="0"/>
              <a:cs typeface="Arial" panose="020B0604020202020204" pitchFamily="34" charset="0"/>
            </a:rPr>
            <a:t>de las producciones audivisuales ha sido elaborada</a:t>
          </a:r>
        </a:p>
        <a:p>
          <a:pPr algn="l"/>
          <a:r>
            <a:rPr lang="en-US" sz="1100" baseline="0">
              <a:latin typeface="Arial" panose="020B0604020202020204" pitchFamily="34" charset="0"/>
              <a:cs typeface="Arial" panose="020B0604020202020204" pitchFamily="34" charset="0"/>
            </a:rPr>
            <a:t>por Green Globe Sostenibilidad y Proyectos Ambientales.</a:t>
          </a:r>
        </a:p>
        <a:p>
          <a:pPr algn="l"/>
          <a:r>
            <a:rPr lang="en-US" sz="1100" baseline="0">
              <a:latin typeface="Arial" panose="020B0604020202020204" pitchFamily="34" charset="0"/>
              <a:cs typeface="Arial" panose="020B0604020202020204" pitchFamily="34" charset="0"/>
            </a:rPr>
            <a:t>Los factores de cálculo utilizado provienen de fuentes</a:t>
          </a:r>
        </a:p>
        <a:p>
          <a:pPr algn="l"/>
          <a:r>
            <a:rPr lang="en-US" sz="1100" baseline="0">
              <a:latin typeface="Arial" panose="020B0604020202020204" pitchFamily="34" charset="0"/>
              <a:cs typeface="Arial" panose="020B0604020202020204" pitchFamily="34" charset="0"/>
            </a:rPr>
            <a:t>oficiales tales como el IPCC o el Ministerio de Transición</a:t>
          </a:r>
        </a:p>
        <a:p>
          <a:pPr algn="l"/>
          <a:r>
            <a:rPr lang="en-US" sz="1100" baseline="0">
              <a:latin typeface="Arial" panose="020B0604020202020204" pitchFamily="34" charset="0"/>
              <a:cs typeface="Arial" panose="020B0604020202020204" pitchFamily="34" charset="0"/>
            </a:rPr>
            <a:t>Ecológica. https://www.greenglobe.es</a:t>
          </a:r>
        </a:p>
        <a:p>
          <a:pPr algn="l"/>
          <a:endParaRPr lang="en-US" sz="1100">
            <a:latin typeface="Arial" panose="020B0604020202020204" pitchFamily="34" charset="0"/>
            <a:cs typeface="Arial" panose="020B0604020202020204" pitchFamily="34" charset="0"/>
          </a:endParaRPr>
        </a:p>
      </xdr:txBody>
    </xdr:sp>
    <xdr:clientData/>
  </xdr:twoCellAnchor>
  <xdr:twoCellAnchor editAs="oneCell">
    <xdr:from>
      <xdr:col>5</xdr:col>
      <xdr:colOff>61384</xdr:colOff>
      <xdr:row>11</xdr:row>
      <xdr:rowOff>180494</xdr:rowOff>
    </xdr:from>
    <xdr:to>
      <xdr:col>7</xdr:col>
      <xdr:colOff>571500</xdr:colOff>
      <xdr:row>15</xdr:row>
      <xdr:rowOff>116418</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4188884" y="2275994"/>
          <a:ext cx="2161116" cy="697924"/>
        </a:xfrm>
        <a:prstGeom prst="rect">
          <a:avLst/>
        </a:prstGeom>
      </xdr:spPr>
    </xdr:pic>
    <xdr:clientData/>
  </xdr:twoCellAnchor>
  <xdr:twoCellAnchor>
    <xdr:from>
      <xdr:col>0</xdr:col>
      <xdr:colOff>59266</xdr:colOff>
      <xdr:row>22</xdr:row>
      <xdr:rowOff>12700</xdr:rowOff>
    </xdr:from>
    <xdr:to>
      <xdr:col>8</xdr:col>
      <xdr:colOff>31749</xdr:colOff>
      <xdr:row>27</xdr:row>
      <xdr:rowOff>116417</xdr:rowOff>
    </xdr:to>
    <xdr:sp macro="" textlink="">
      <xdr:nvSpPr>
        <xdr:cNvPr id="5" name="Rectángulo 4">
          <a:extLst>
            <a:ext uri="{FF2B5EF4-FFF2-40B4-BE49-F238E27FC236}">
              <a16:creationId xmlns:a16="http://schemas.microsoft.com/office/drawing/2014/main" xmlns="" id="{00000000-0008-0000-0000-000005000000}"/>
            </a:ext>
          </a:extLst>
        </xdr:cNvPr>
        <xdr:cNvSpPr/>
      </xdr:nvSpPr>
      <xdr:spPr>
        <a:xfrm>
          <a:off x="59266" y="4203700"/>
          <a:ext cx="6576483" cy="10562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latin typeface="Arial" panose="020B0604020202020204" pitchFamily="34" charset="0"/>
              <a:cs typeface="Arial" panose="020B0604020202020204" pitchFamily="34" charset="0"/>
            </a:rPr>
            <a:t>Esta</a:t>
          </a:r>
          <a:r>
            <a:rPr lang="en-US" sz="1200" baseline="0">
              <a:latin typeface="Arial" panose="020B0604020202020204" pitchFamily="34" charset="0"/>
              <a:cs typeface="Arial" panose="020B0604020202020204" pitchFamily="34" charset="0"/>
            </a:rPr>
            <a:t> herramienta sirve para ayudarte a calcular la Huella de Carbono de una producción audiovisual. Para empezar lea el manual de usuario. Lo primero que realizará será cargar el presupuesto de la producción según el modelo oficial del Ministerio de Cultura y Deporte. Tras cargar la información necesitaremos algunos datos más completar tu huella mínima y hacerla una huella completa.</a:t>
          </a:r>
          <a:endParaRPr lang="en-US" sz="1200">
            <a:latin typeface="Arial" panose="020B0604020202020204" pitchFamily="34" charset="0"/>
            <a:cs typeface="Arial" panose="020B0604020202020204" pitchFamily="34" charset="0"/>
          </a:endParaRPr>
        </a:p>
      </xdr:txBody>
    </xdr:sp>
    <xdr:clientData/>
  </xdr:twoCellAnchor>
  <xdr:twoCellAnchor>
    <xdr:from>
      <xdr:col>0</xdr:col>
      <xdr:colOff>211665</xdr:colOff>
      <xdr:row>16</xdr:row>
      <xdr:rowOff>158751</xdr:rowOff>
    </xdr:from>
    <xdr:to>
      <xdr:col>3</xdr:col>
      <xdr:colOff>698499</xdr:colOff>
      <xdr:row>20</xdr:row>
      <xdr:rowOff>95251</xdr:rowOff>
    </xdr:to>
    <xdr:grpSp>
      <xdr:nvGrpSpPr>
        <xdr:cNvPr id="7" name="Grupo 6">
          <a:hlinkClick xmlns:r="http://schemas.openxmlformats.org/officeDocument/2006/relationships" r:id="rId3"/>
          <a:extLst>
            <a:ext uri="{FF2B5EF4-FFF2-40B4-BE49-F238E27FC236}">
              <a16:creationId xmlns:a16="http://schemas.microsoft.com/office/drawing/2014/main" xmlns="" id="{00000000-0008-0000-0000-000007000000}"/>
            </a:ext>
          </a:extLst>
        </xdr:cNvPr>
        <xdr:cNvGrpSpPr/>
      </xdr:nvGrpSpPr>
      <xdr:grpSpPr>
        <a:xfrm>
          <a:off x="211665" y="3435351"/>
          <a:ext cx="2772834" cy="698500"/>
          <a:chOff x="455083" y="3048001"/>
          <a:chExt cx="2963334" cy="698500"/>
        </a:xfrm>
      </xdr:grpSpPr>
      <xdr:sp macro="" textlink="">
        <xdr:nvSpPr>
          <xdr:cNvPr id="6" name="Rectángulo 5">
            <a:extLst>
              <a:ext uri="{FF2B5EF4-FFF2-40B4-BE49-F238E27FC236}">
                <a16:creationId xmlns:a16="http://schemas.microsoft.com/office/drawing/2014/main" xmlns="" id="{00000000-0008-0000-0000-000006000000}"/>
              </a:ext>
            </a:extLst>
          </xdr:cNvPr>
          <xdr:cNvSpPr/>
        </xdr:nvSpPr>
        <xdr:spPr>
          <a:xfrm>
            <a:off x="455083" y="3100918"/>
            <a:ext cx="2963334" cy="645583"/>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ES" sz="1100" b="1" i="0">
                <a:solidFill>
                  <a:schemeClr val="lt1"/>
                </a:solidFill>
                <a:effectLst/>
                <a:latin typeface="Arial" panose="020B0604020202020204" pitchFamily="34" charset="0"/>
                <a:ea typeface="+mn-ea"/>
                <a:cs typeface="Arial" panose="020B0604020202020204" pitchFamily="34" charset="0"/>
              </a:rPr>
              <a:t>Descargar Modelo oficial </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1" i="0">
                <a:solidFill>
                  <a:schemeClr val="lt1"/>
                </a:solidFill>
                <a:effectLst/>
                <a:latin typeface="Arial" panose="020B0604020202020204" pitchFamily="34" charset="0"/>
                <a:ea typeface="+mn-ea"/>
                <a:cs typeface="Arial" panose="020B0604020202020204" pitchFamily="34" charset="0"/>
              </a:rPr>
              <a:t>de presupuesto de </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1" i="0">
                <a:solidFill>
                  <a:schemeClr val="lt1"/>
                </a:solidFill>
                <a:effectLst/>
                <a:latin typeface="Arial" panose="020B0604020202020204" pitchFamily="34" charset="0"/>
                <a:ea typeface="+mn-ea"/>
                <a:cs typeface="Arial" panose="020B0604020202020204" pitchFamily="34" charset="0"/>
              </a:rPr>
              <a:t>coste de película</a:t>
            </a:r>
          </a:p>
          <a:p>
            <a:pPr algn="l"/>
            <a:endParaRPr lang="es-ES_tradnl" sz="1100"/>
          </a:p>
        </xdr:txBody>
      </xdr:sp>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4" cstate="print"/>
          <a:stretch>
            <a:fillRect/>
          </a:stretch>
        </xdr:blipFill>
        <xdr:spPr>
          <a:xfrm>
            <a:off x="2582335" y="3048001"/>
            <a:ext cx="660400" cy="660400"/>
          </a:xfrm>
          <a:prstGeom prst="rect">
            <a:avLst/>
          </a:prstGeom>
        </xdr:spPr>
      </xdr:pic>
    </xdr:grpSp>
    <xdr:clientData/>
  </xdr:twoCellAnchor>
  <xdr:twoCellAnchor>
    <xdr:from>
      <xdr:col>4</xdr:col>
      <xdr:colOff>194732</xdr:colOff>
      <xdr:row>17</xdr:row>
      <xdr:rowOff>14818</xdr:rowOff>
    </xdr:from>
    <xdr:to>
      <xdr:col>7</xdr:col>
      <xdr:colOff>681566</xdr:colOff>
      <xdr:row>20</xdr:row>
      <xdr:rowOff>88901</xdr:rowOff>
    </xdr:to>
    <xdr:grpSp>
      <xdr:nvGrpSpPr>
        <xdr:cNvPr id="12" name="Grupo 11">
          <a:extLst>
            <a:ext uri="{FF2B5EF4-FFF2-40B4-BE49-F238E27FC236}">
              <a16:creationId xmlns:a16="http://schemas.microsoft.com/office/drawing/2014/main" xmlns="" id="{00000000-0008-0000-0000-00000C000000}"/>
            </a:ext>
          </a:extLst>
        </xdr:cNvPr>
        <xdr:cNvGrpSpPr/>
      </xdr:nvGrpSpPr>
      <xdr:grpSpPr>
        <a:xfrm>
          <a:off x="3242732" y="3481918"/>
          <a:ext cx="2772834" cy="645583"/>
          <a:chOff x="3496732" y="3253318"/>
          <a:chExt cx="2963334" cy="645583"/>
        </a:xfrm>
      </xdr:grpSpPr>
      <xdr:sp macro="[0]!Importar" textlink="">
        <xdr:nvSpPr>
          <xdr:cNvPr id="10" name="Rectángulo 9">
            <a:extLst>
              <a:ext uri="{FF2B5EF4-FFF2-40B4-BE49-F238E27FC236}">
                <a16:creationId xmlns:a16="http://schemas.microsoft.com/office/drawing/2014/main" xmlns="" id="{00000000-0008-0000-0000-00000A000000}"/>
              </a:ext>
            </a:extLst>
          </xdr:cNvPr>
          <xdr:cNvSpPr/>
        </xdr:nvSpPr>
        <xdr:spPr>
          <a:xfrm>
            <a:off x="3496732" y="3253318"/>
            <a:ext cx="2963334" cy="645583"/>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endParaRPr lang="es-ES" sz="1200" b="1" i="0">
              <a:solidFill>
                <a:schemeClr val="lt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s-ES" sz="1100" b="1" i="0">
                <a:solidFill>
                  <a:schemeClr val="lt1"/>
                </a:solidFill>
                <a:effectLst/>
                <a:latin typeface="Arial" panose="020B0604020202020204" pitchFamily="34" charset="0"/>
                <a:ea typeface="+mn-ea"/>
                <a:cs typeface="Arial" panose="020B0604020202020204" pitchFamily="34" charset="0"/>
              </a:rPr>
              <a:t>Cargar presupuesto </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1" i="0">
                <a:solidFill>
                  <a:schemeClr val="lt1"/>
                </a:solidFill>
                <a:effectLst/>
                <a:latin typeface="Arial" panose="020B0604020202020204" pitchFamily="34" charset="0"/>
                <a:ea typeface="+mn-ea"/>
                <a:cs typeface="Arial" panose="020B0604020202020204" pitchFamily="34" charset="0"/>
              </a:rPr>
              <a:t>y calcula la huella mínima</a:t>
            </a:r>
          </a:p>
          <a:p>
            <a:pPr algn="l"/>
            <a:endParaRPr lang="es-ES_tradnl" sz="1100"/>
          </a:p>
        </xdr:txBody>
      </xdr:sp>
      <xdr:pic>
        <xdr:nvPicPr>
          <xdr:cNvPr id="8" name="Imagen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5725589" y="3309197"/>
            <a:ext cx="497416" cy="477519"/>
          </a:xfrm>
          <a:prstGeom prst="rect">
            <a:avLst/>
          </a:prstGeom>
        </xdr:spPr>
      </xdr:pic>
    </xdr:grpSp>
    <xdr:clientData/>
  </xdr:twoCellAnchor>
  <xdr:twoCellAnchor editAs="oneCell">
    <xdr:from>
      <xdr:col>2</xdr:col>
      <xdr:colOff>640713</xdr:colOff>
      <xdr:row>6</xdr:row>
      <xdr:rowOff>6541</xdr:rowOff>
    </xdr:from>
    <xdr:to>
      <xdr:col>4</xdr:col>
      <xdr:colOff>383117</xdr:colOff>
      <xdr:row>11</xdr:row>
      <xdr:rowOff>157163</xdr:rowOff>
    </xdr:to>
    <xdr:pic>
      <xdr:nvPicPr>
        <xdr:cNvPr id="13" name="Imagen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2164713" y="1092391"/>
          <a:ext cx="1266404" cy="1055497"/>
        </a:xfrm>
        <a:prstGeom prst="rect">
          <a:avLst/>
        </a:prstGeom>
      </xdr:spPr>
    </xdr:pic>
    <xdr:clientData/>
  </xdr:twoCellAnchor>
  <xdr:twoCellAnchor editAs="oneCell">
    <xdr:from>
      <xdr:col>0</xdr:col>
      <xdr:colOff>0</xdr:colOff>
      <xdr:row>12</xdr:row>
      <xdr:rowOff>0</xdr:rowOff>
    </xdr:from>
    <xdr:to>
      <xdr:col>2</xdr:col>
      <xdr:colOff>402823</xdr:colOff>
      <xdr:row>16</xdr:row>
      <xdr:rowOff>31748</xdr:rowOff>
    </xdr:to>
    <xdr:pic>
      <xdr:nvPicPr>
        <xdr:cNvPr id="21" name="Imagen 20">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7" cstate="print"/>
        <a:stretch>
          <a:fillRect/>
        </a:stretch>
      </xdr:blipFill>
      <xdr:spPr>
        <a:xfrm>
          <a:off x="0" y="2286000"/>
          <a:ext cx="2053823" cy="793748"/>
        </a:xfrm>
        <a:prstGeom prst="rect">
          <a:avLst/>
        </a:prstGeom>
      </xdr:spPr>
    </xdr:pic>
    <xdr:clientData/>
  </xdr:twoCellAnchor>
  <xdr:twoCellAnchor editAs="oneCell">
    <xdr:from>
      <xdr:col>2</xdr:col>
      <xdr:colOff>473984</xdr:colOff>
      <xdr:row>12</xdr:row>
      <xdr:rowOff>169333</xdr:rowOff>
    </xdr:from>
    <xdr:to>
      <xdr:col>4</xdr:col>
      <xdr:colOff>559340</xdr:colOff>
      <xdr:row>15</xdr:row>
      <xdr:rowOff>76199</xdr:rowOff>
    </xdr:to>
    <xdr:pic>
      <xdr:nvPicPr>
        <xdr:cNvPr id="23" name="Imagen 22">
          <a:extLst>
            <a:ext uri="{FF2B5EF4-FFF2-40B4-BE49-F238E27FC236}">
              <a16:creationId xmlns:a16="http://schemas.microsoft.com/office/drawing/2014/main" xmlns="" id="{00000000-0008-0000-0000-000017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2124984" y="2455333"/>
          <a:ext cx="1736356" cy="47836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5</xdr:col>
      <xdr:colOff>105833</xdr:colOff>
      <xdr:row>29</xdr:row>
      <xdr:rowOff>95248</xdr:rowOff>
    </xdr:from>
    <xdr:to>
      <xdr:col>7</xdr:col>
      <xdr:colOff>751416</xdr:colOff>
      <xdr:row>34</xdr:row>
      <xdr:rowOff>23105</xdr:rowOff>
    </xdr:to>
    <xdr:pic>
      <xdr:nvPicPr>
        <xdr:cNvPr id="22" name="Imagen 2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9" cstate="print"/>
        <a:stretch>
          <a:fillRect/>
        </a:stretch>
      </xdr:blipFill>
      <xdr:spPr>
        <a:xfrm>
          <a:off x="4233333" y="5619748"/>
          <a:ext cx="2296583" cy="880357"/>
        </a:xfrm>
        <a:prstGeom prst="rect">
          <a:avLst/>
        </a:prstGeom>
      </xdr:spPr>
    </xdr:pic>
    <xdr:clientData/>
  </xdr:twoCellAnchor>
  <xdr:twoCellAnchor editAs="oneCell">
    <xdr:from>
      <xdr:col>0</xdr:col>
      <xdr:colOff>504826</xdr:colOff>
      <xdr:row>1</xdr:row>
      <xdr:rowOff>114300</xdr:rowOff>
    </xdr:from>
    <xdr:to>
      <xdr:col>6</xdr:col>
      <xdr:colOff>519113</xdr:colOff>
      <xdr:row>5</xdr:row>
      <xdr:rowOff>108947</xdr:rowOff>
    </xdr:to>
    <xdr:pic>
      <xdr:nvPicPr>
        <xdr:cNvPr id="9" name="Imagen 8">
          <a:extLst>
            <a:ext uri="{FF2B5EF4-FFF2-40B4-BE49-F238E27FC236}">
              <a16:creationId xmlns:a16="http://schemas.microsoft.com/office/drawing/2014/main" xmlns="" id="{CFF55045-04AE-4069-854B-01F2303650F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tretch>
          <a:fillRect/>
        </a:stretch>
      </xdr:blipFill>
      <xdr:spPr>
        <a:xfrm>
          <a:off x="504826" y="295275"/>
          <a:ext cx="4586287" cy="718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35719</xdr:colOff>
      <xdr:row>0</xdr:row>
      <xdr:rowOff>11905</xdr:rowOff>
    </xdr:from>
    <xdr:to>
      <xdr:col>5</xdr:col>
      <xdr:colOff>738188</xdr:colOff>
      <xdr:row>6</xdr:row>
      <xdr:rowOff>190499</xdr:rowOff>
    </xdr:to>
    <xdr:sp macro="" textlink="">
      <xdr:nvSpPr>
        <xdr:cNvPr id="2" name="Rectángulo: esquinas redondeadas 1">
          <a:extLst>
            <a:ext uri="{FF2B5EF4-FFF2-40B4-BE49-F238E27FC236}">
              <a16:creationId xmlns:a16="http://schemas.microsoft.com/office/drawing/2014/main" xmlns="" id="{00000000-0008-0000-0100-000002000000}"/>
            </a:ext>
          </a:extLst>
        </xdr:cNvPr>
        <xdr:cNvSpPr/>
      </xdr:nvSpPr>
      <xdr:spPr>
        <a:xfrm>
          <a:off x="35719" y="11905"/>
          <a:ext cx="6203157" cy="14644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400" b="1"/>
        </a:p>
        <a:p>
          <a:pPr algn="l"/>
          <a:r>
            <a:rPr lang="en-US" sz="1400" b="1"/>
            <a:t>El Resultado de la Huella</a:t>
          </a:r>
          <a:r>
            <a:rPr lang="en-US" sz="1400" b="1" baseline="0"/>
            <a:t> Mínima </a:t>
          </a:r>
        </a:p>
        <a:p>
          <a:pPr algn="l"/>
          <a:r>
            <a:rPr lang="en-US" sz="1400" b="1" baseline="0"/>
            <a:t>de la producción es de :</a:t>
          </a:r>
          <a:endParaRPr lang="en-US" sz="1400" b="1"/>
        </a:p>
      </xdr:txBody>
    </xdr:sp>
    <xdr:clientData/>
  </xdr:twoCellAnchor>
  <xdr:twoCellAnchor editAs="oneCell">
    <xdr:from>
      <xdr:col>2</xdr:col>
      <xdr:colOff>1131093</xdr:colOff>
      <xdr:row>0</xdr:row>
      <xdr:rowOff>0</xdr:rowOff>
    </xdr:from>
    <xdr:to>
      <xdr:col>5</xdr:col>
      <xdr:colOff>758824</xdr:colOff>
      <xdr:row>10</xdr:row>
      <xdr:rowOff>45243</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3964781" y="0"/>
          <a:ext cx="2297906" cy="2297906"/>
        </a:xfrm>
        <a:prstGeom prst="rect">
          <a:avLst/>
        </a:prstGeom>
      </xdr:spPr>
    </xdr:pic>
    <xdr:clientData/>
  </xdr:twoCellAnchor>
  <xdr:twoCellAnchor>
    <xdr:from>
      <xdr:col>0</xdr:col>
      <xdr:colOff>0</xdr:colOff>
      <xdr:row>20</xdr:row>
      <xdr:rowOff>158749</xdr:rowOff>
    </xdr:from>
    <xdr:to>
      <xdr:col>5</xdr:col>
      <xdr:colOff>750092</xdr:colOff>
      <xdr:row>29</xdr:row>
      <xdr:rowOff>139699</xdr:rowOff>
    </xdr:to>
    <xdr:sp macro="" textlink="">
      <xdr:nvSpPr>
        <xdr:cNvPr id="5" name="Rectángulo 4">
          <a:extLst>
            <a:ext uri="{FF2B5EF4-FFF2-40B4-BE49-F238E27FC236}">
              <a16:creationId xmlns:a16="http://schemas.microsoft.com/office/drawing/2014/main" xmlns="" id="{00000000-0008-0000-0100-000005000000}"/>
            </a:ext>
          </a:extLst>
        </xdr:cNvPr>
        <xdr:cNvSpPr/>
      </xdr:nvSpPr>
      <xdr:spPr>
        <a:xfrm>
          <a:off x="0" y="4375149"/>
          <a:ext cx="6896892" cy="1695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t>La huella mínima es el resultado del Cálculo</a:t>
          </a:r>
          <a:r>
            <a:rPr lang="en-US" sz="1200" baseline="0"/>
            <a:t> de la Huella de Carbono con el presupuesto que acabas de introducir. Este resultado da una aproximación de cálculo y nos es ni mucho menos la huella completa de las emisiones de tu producción. Para un resultado completo necesitamos que introduzcas unos datos más para poder completar el cálculo.</a:t>
          </a:r>
          <a:endParaRPr lang="en-US" sz="1200"/>
        </a:p>
      </xdr:txBody>
    </xdr:sp>
    <xdr:clientData/>
  </xdr:twoCellAnchor>
  <xdr:twoCellAnchor>
    <xdr:from>
      <xdr:col>4</xdr:col>
      <xdr:colOff>77789</xdr:colOff>
      <xdr:row>11</xdr:row>
      <xdr:rowOff>52387</xdr:rowOff>
    </xdr:from>
    <xdr:to>
      <xdr:col>5</xdr:col>
      <xdr:colOff>446087</xdr:colOff>
      <xdr:row>14</xdr:row>
      <xdr:rowOff>9523</xdr:rowOff>
    </xdr:to>
    <xdr:grpSp>
      <xdr:nvGrpSpPr>
        <xdr:cNvPr id="4" name="Grupo 3">
          <a:extLst>
            <a:ext uri="{FF2B5EF4-FFF2-40B4-BE49-F238E27FC236}">
              <a16:creationId xmlns:a16="http://schemas.microsoft.com/office/drawing/2014/main" xmlns="" id="{00000000-0008-0000-0100-000004000000}"/>
            </a:ext>
          </a:extLst>
        </xdr:cNvPr>
        <xdr:cNvGrpSpPr/>
      </xdr:nvGrpSpPr>
      <xdr:grpSpPr>
        <a:xfrm>
          <a:off x="5373689" y="2414587"/>
          <a:ext cx="1181098" cy="541336"/>
          <a:chOff x="6500814" y="2624137"/>
          <a:chExt cx="1222373" cy="579436"/>
        </a:xfrm>
      </xdr:grpSpPr>
      <xdr:pic>
        <xdr:nvPicPr>
          <xdr:cNvPr id="7" name="Gráfico 6" descr="Árbol de hoja caduca">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6862764" y="2624137"/>
            <a:ext cx="563561" cy="479424"/>
          </a:xfrm>
          <a:prstGeom prst="rect">
            <a:avLst/>
          </a:prstGeom>
        </xdr:spPr>
      </xdr:pic>
      <xdr:pic>
        <xdr:nvPicPr>
          <xdr:cNvPr id="8" name="Gráfico 7" descr="Árbol de hoja caduca">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6500814" y="2771774"/>
            <a:ext cx="563561" cy="431799"/>
          </a:xfrm>
          <a:prstGeom prst="rect">
            <a:avLst/>
          </a:prstGeom>
        </xdr:spPr>
      </xdr:pic>
      <xdr:pic>
        <xdr:nvPicPr>
          <xdr:cNvPr id="9" name="Gráfico 8" descr="Árbol de hoja caduca">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7340601" y="2771774"/>
            <a:ext cx="382586" cy="336549"/>
          </a:xfrm>
          <a:prstGeom prst="rect">
            <a:avLst/>
          </a:prstGeom>
        </xdr:spPr>
      </xdr:pic>
    </xdr:grpSp>
    <xdr:clientData/>
  </xdr:twoCellAnchor>
  <xdr:twoCellAnchor>
    <xdr:from>
      <xdr:col>0</xdr:col>
      <xdr:colOff>1733550</xdr:colOff>
      <xdr:row>16</xdr:row>
      <xdr:rowOff>0</xdr:rowOff>
    </xdr:from>
    <xdr:to>
      <xdr:col>3</xdr:col>
      <xdr:colOff>305859</xdr:colOff>
      <xdr:row>19</xdr:row>
      <xdr:rowOff>102658</xdr:rowOff>
    </xdr:to>
    <xdr:grpSp>
      <xdr:nvGrpSpPr>
        <xdr:cNvPr id="6" name="Grupo 5">
          <a:extLst>
            <a:ext uri="{FF2B5EF4-FFF2-40B4-BE49-F238E27FC236}">
              <a16:creationId xmlns:a16="http://schemas.microsoft.com/office/drawing/2014/main" xmlns="" id="{824C712F-234C-4A82-9E41-E888DF8D61B4}"/>
            </a:ext>
          </a:extLst>
        </xdr:cNvPr>
        <xdr:cNvGrpSpPr/>
      </xdr:nvGrpSpPr>
      <xdr:grpSpPr>
        <a:xfrm>
          <a:off x="1733550" y="3302000"/>
          <a:ext cx="3055409" cy="636058"/>
          <a:chOff x="8839200" y="3409950"/>
          <a:chExt cx="2772834" cy="617008"/>
        </a:xfrm>
      </xdr:grpSpPr>
      <xdr:sp macro="[0]!iraHuellaCompleta" textlink="">
        <xdr:nvSpPr>
          <xdr:cNvPr id="11" name="Rectángulo 10">
            <a:extLst>
              <a:ext uri="{FF2B5EF4-FFF2-40B4-BE49-F238E27FC236}">
                <a16:creationId xmlns:a16="http://schemas.microsoft.com/office/drawing/2014/main" xmlns="" id="{F12A8295-FAF6-4DCD-81C5-F60594179DB2}"/>
              </a:ext>
            </a:extLst>
          </xdr:cNvPr>
          <xdr:cNvSpPr/>
        </xdr:nvSpPr>
        <xdr:spPr>
          <a:xfrm>
            <a:off x="8839200" y="3409950"/>
            <a:ext cx="2772834" cy="61700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s-ES_tradnl" sz="1200" b="1" i="0">
                <a:solidFill>
                  <a:schemeClr val="lt1"/>
                </a:solidFill>
                <a:effectLst/>
                <a:latin typeface="Arial" panose="020B0604020202020204" pitchFamily="34" charset="0"/>
                <a:ea typeface="+mn-ea"/>
                <a:cs typeface="Arial" panose="020B0604020202020204" pitchFamily="34" charset="0"/>
              </a:rPr>
              <a:t>¡Cálcular</a:t>
            </a:r>
            <a:r>
              <a:rPr lang="es-ES_tradnl" sz="1200" b="1" i="0" baseline="0">
                <a:solidFill>
                  <a:schemeClr val="lt1"/>
                </a:solidFill>
                <a:effectLst/>
                <a:latin typeface="Arial" panose="020B0604020202020204" pitchFamily="34" charset="0"/>
                <a:ea typeface="+mn-ea"/>
                <a:cs typeface="Arial" panose="020B0604020202020204" pitchFamily="34" charset="0"/>
              </a:rPr>
              <a:t> la huella completa!</a:t>
            </a:r>
            <a:endParaRPr lang="es-ES" sz="1400" b="1" i="0">
              <a:solidFill>
                <a:schemeClr val="lt1"/>
              </a:solidFill>
              <a:effectLst/>
              <a:latin typeface="Arial" panose="020B0604020202020204" pitchFamily="34" charset="0"/>
              <a:ea typeface="+mn-ea"/>
              <a:cs typeface="Arial" panose="020B0604020202020204" pitchFamily="34" charset="0"/>
            </a:endParaRPr>
          </a:p>
        </xdr:txBody>
      </xdr:sp>
      <xdr:pic macro="[0]!iraHuellaCompleta">
        <xdr:nvPicPr>
          <xdr:cNvPr id="13" name="Imagen 12">
            <a:extLst>
              <a:ext uri="{FF2B5EF4-FFF2-40B4-BE49-F238E27FC236}">
                <a16:creationId xmlns:a16="http://schemas.microsoft.com/office/drawing/2014/main" xmlns="" id="{695EBEE6-8418-49B6-839B-E9FAD347E77E}"/>
              </a:ext>
            </a:extLst>
          </xdr:cNvPr>
          <xdr:cNvPicPr>
            <a:picLocks noChangeAspect="1"/>
          </xdr:cNvPicPr>
        </xdr:nvPicPr>
        <xdr:blipFill>
          <a:blip xmlns:r="http://schemas.openxmlformats.org/officeDocument/2006/relationships" r:embed="rId6" cstate="print"/>
          <a:stretch>
            <a:fillRect/>
          </a:stretch>
        </xdr:blipFill>
        <xdr:spPr>
          <a:xfrm>
            <a:off x="11087237" y="3471863"/>
            <a:ext cx="390387" cy="48101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29441</xdr:colOff>
      <xdr:row>15</xdr:row>
      <xdr:rowOff>28575</xdr:rowOff>
    </xdr:from>
    <xdr:to>
      <xdr:col>3</xdr:col>
      <xdr:colOff>734291</xdr:colOff>
      <xdr:row>18</xdr:row>
      <xdr:rowOff>0</xdr:rowOff>
    </xdr:to>
    <xdr:sp macro="" textlink="">
      <xdr:nvSpPr>
        <xdr:cNvPr id="2" name="Rectángulo: esquinas redondeadas 1">
          <a:extLst>
            <a:ext uri="{FF2B5EF4-FFF2-40B4-BE49-F238E27FC236}">
              <a16:creationId xmlns:a16="http://schemas.microsoft.com/office/drawing/2014/main" xmlns="" id="{00000000-0008-0000-0200-000002000000}"/>
            </a:ext>
          </a:extLst>
        </xdr:cNvPr>
        <xdr:cNvSpPr/>
      </xdr:nvSpPr>
      <xdr:spPr>
        <a:xfrm>
          <a:off x="29441" y="28575"/>
          <a:ext cx="548640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latin typeface="Arial" panose="020B0604020202020204" pitchFamily="34" charset="0"/>
              <a:cs typeface="Arial" panose="020B0604020202020204" pitchFamily="34" charset="0"/>
            </a:rPr>
            <a:t>Fase de Preproducción</a:t>
          </a:r>
        </a:p>
      </xdr:txBody>
    </xdr:sp>
    <xdr:clientData/>
  </xdr:twoCellAnchor>
  <xdr:twoCellAnchor>
    <xdr:from>
      <xdr:col>1</xdr:col>
      <xdr:colOff>19050</xdr:colOff>
      <xdr:row>18</xdr:row>
      <xdr:rowOff>104776</xdr:rowOff>
    </xdr:from>
    <xdr:to>
      <xdr:col>13</xdr:col>
      <xdr:colOff>0</xdr:colOff>
      <xdr:row>19</xdr:row>
      <xdr:rowOff>180976</xdr:rowOff>
    </xdr:to>
    <xdr:sp macro="" textlink="">
      <xdr:nvSpPr>
        <xdr:cNvPr id="3" name="Rectángulo 2">
          <a:extLst>
            <a:ext uri="{FF2B5EF4-FFF2-40B4-BE49-F238E27FC236}">
              <a16:creationId xmlns:a16="http://schemas.microsoft.com/office/drawing/2014/main" xmlns="" id="{00000000-0008-0000-0200-000003000000}"/>
            </a:ext>
          </a:extLst>
        </xdr:cNvPr>
        <xdr:cNvSpPr/>
      </xdr:nvSpPr>
      <xdr:spPr>
        <a:xfrm>
          <a:off x="19050" y="676276"/>
          <a:ext cx="13430250"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Viajes a localizaciones</a:t>
          </a:r>
          <a:r>
            <a:rPr lang="en-US" sz="1100" b="1" baseline="0"/>
            <a:t> en vehículo propio o de alquiler</a:t>
          </a:r>
          <a:endParaRPr lang="en-US" sz="1100" b="1"/>
        </a:p>
      </xdr:txBody>
    </xdr:sp>
    <xdr:clientData/>
  </xdr:twoCellAnchor>
  <xdr:twoCellAnchor>
    <xdr:from>
      <xdr:col>1</xdr:col>
      <xdr:colOff>0</xdr:colOff>
      <xdr:row>36</xdr:row>
      <xdr:rowOff>95250</xdr:rowOff>
    </xdr:from>
    <xdr:to>
      <xdr:col>13</xdr:col>
      <xdr:colOff>8659</xdr:colOff>
      <xdr:row>37</xdr:row>
      <xdr:rowOff>171450</xdr:rowOff>
    </xdr:to>
    <xdr:sp macro="" textlink="">
      <xdr:nvSpPr>
        <xdr:cNvPr id="4" name="Rectángulo 3">
          <a:extLst>
            <a:ext uri="{FF2B5EF4-FFF2-40B4-BE49-F238E27FC236}">
              <a16:creationId xmlns:a16="http://schemas.microsoft.com/office/drawing/2014/main" xmlns="" id="{00000000-0008-0000-0200-000004000000}"/>
            </a:ext>
          </a:extLst>
        </xdr:cNvPr>
        <xdr:cNvSpPr/>
      </xdr:nvSpPr>
      <xdr:spPr>
        <a:xfrm>
          <a:off x="0" y="2571750"/>
          <a:ext cx="13457959"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Viajes a localizaciones</a:t>
          </a:r>
          <a:r>
            <a:rPr lang="en-US" sz="1100" b="1" baseline="0"/>
            <a:t> en trasporte colectivo de viajeros tren, bus o avión</a:t>
          </a:r>
          <a:endParaRPr lang="en-US" sz="1100" b="1"/>
        </a:p>
      </xdr:txBody>
    </xdr:sp>
    <xdr:clientData/>
  </xdr:twoCellAnchor>
  <xdr:twoCellAnchor>
    <xdr:from>
      <xdr:col>1</xdr:col>
      <xdr:colOff>9525</xdr:colOff>
      <xdr:row>49</xdr:row>
      <xdr:rowOff>114300</xdr:rowOff>
    </xdr:from>
    <xdr:to>
      <xdr:col>13</xdr:col>
      <xdr:colOff>0</xdr:colOff>
      <xdr:row>51</xdr:row>
      <xdr:rowOff>0</xdr:rowOff>
    </xdr:to>
    <xdr:sp macro="" textlink="">
      <xdr:nvSpPr>
        <xdr:cNvPr id="5" name="Rectángulo 4">
          <a:extLst>
            <a:ext uri="{FF2B5EF4-FFF2-40B4-BE49-F238E27FC236}">
              <a16:creationId xmlns:a16="http://schemas.microsoft.com/office/drawing/2014/main" xmlns="" id="{00000000-0008-0000-0200-000005000000}"/>
            </a:ext>
          </a:extLst>
        </xdr:cNvPr>
        <xdr:cNvSpPr/>
      </xdr:nvSpPr>
      <xdr:spPr>
        <a:xfrm>
          <a:off x="9525" y="5067300"/>
          <a:ext cx="134397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Hospedaje</a:t>
          </a:r>
        </a:p>
      </xdr:txBody>
    </xdr:sp>
    <xdr:clientData/>
  </xdr:twoCellAnchor>
  <xdr:twoCellAnchor editAs="oneCell">
    <xdr:from>
      <xdr:col>4</xdr:col>
      <xdr:colOff>47625</xdr:colOff>
      <xdr:row>17</xdr:row>
      <xdr:rowOff>161925</xdr:rowOff>
    </xdr:from>
    <xdr:to>
      <xdr:col>4</xdr:col>
      <xdr:colOff>600075</xdr:colOff>
      <xdr:row>21</xdr:row>
      <xdr:rowOff>0</xdr:rowOff>
    </xdr:to>
    <xdr:pic>
      <xdr:nvPicPr>
        <xdr:cNvPr id="6" name="Gráfico 5" descr="Coche">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a:xfrm>
          <a:off x="6162675" y="542925"/>
          <a:ext cx="552450" cy="552450"/>
        </a:xfrm>
        <a:prstGeom prst="rect">
          <a:avLst/>
        </a:prstGeom>
      </xdr:spPr>
    </xdr:pic>
    <xdr:clientData/>
  </xdr:twoCellAnchor>
  <xdr:twoCellAnchor editAs="oneCell">
    <xdr:from>
      <xdr:col>4</xdr:col>
      <xdr:colOff>617590</xdr:colOff>
      <xdr:row>35</xdr:row>
      <xdr:rowOff>151057</xdr:rowOff>
    </xdr:from>
    <xdr:to>
      <xdr:col>4</xdr:col>
      <xdr:colOff>1021715</xdr:colOff>
      <xdr:row>38</xdr:row>
      <xdr:rowOff>26666</xdr:rowOff>
    </xdr:to>
    <xdr:pic>
      <xdr:nvPicPr>
        <xdr:cNvPr id="7" name="Gráfico 6" descr="Tren">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 uri="{96DAC541-7B7A-43D3-8B79-37D633B846F1}">
              <asvg:svgBlip xmlns:asvg="http://schemas.microsoft.com/office/drawing/2016/SVG/main" xmlns="" r:embed="rId4"/>
            </a:ext>
          </a:extLst>
        </a:blip>
        <a:stretch>
          <a:fillRect/>
        </a:stretch>
      </xdr:blipFill>
      <xdr:spPr>
        <a:xfrm>
          <a:off x="7602590" y="2495672"/>
          <a:ext cx="404125" cy="418779"/>
        </a:xfrm>
        <a:prstGeom prst="rect">
          <a:avLst/>
        </a:prstGeom>
      </xdr:spPr>
    </xdr:pic>
    <xdr:clientData/>
  </xdr:twoCellAnchor>
  <xdr:twoCellAnchor editAs="oneCell">
    <xdr:from>
      <xdr:col>4</xdr:col>
      <xdr:colOff>23775</xdr:colOff>
      <xdr:row>35</xdr:row>
      <xdr:rowOff>151489</xdr:rowOff>
    </xdr:from>
    <xdr:to>
      <xdr:col>4</xdr:col>
      <xdr:colOff>452579</xdr:colOff>
      <xdr:row>38</xdr:row>
      <xdr:rowOff>37368</xdr:rowOff>
    </xdr:to>
    <xdr:pic>
      <xdr:nvPicPr>
        <xdr:cNvPr id="8" name="Gráfico 7" descr="Avión">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 uri="{96DAC541-7B7A-43D3-8B79-37D633B846F1}">
              <asvg:svgBlip xmlns:asvg="http://schemas.microsoft.com/office/drawing/2016/SVG/main" xmlns="" r:embed="rId6"/>
            </a:ext>
          </a:extLst>
        </a:blip>
        <a:stretch>
          <a:fillRect/>
        </a:stretch>
      </xdr:blipFill>
      <xdr:spPr>
        <a:xfrm>
          <a:off x="7008775" y="2496104"/>
          <a:ext cx="428804" cy="443458"/>
        </a:xfrm>
        <a:prstGeom prst="rect">
          <a:avLst/>
        </a:prstGeom>
      </xdr:spPr>
    </xdr:pic>
    <xdr:clientData/>
  </xdr:twoCellAnchor>
  <xdr:twoCellAnchor editAs="oneCell">
    <xdr:from>
      <xdr:col>5</xdr:col>
      <xdr:colOff>23976</xdr:colOff>
      <xdr:row>35</xdr:row>
      <xdr:rowOff>113568</xdr:rowOff>
    </xdr:from>
    <xdr:to>
      <xdr:col>5</xdr:col>
      <xdr:colOff>500226</xdr:colOff>
      <xdr:row>38</xdr:row>
      <xdr:rowOff>46893</xdr:rowOff>
    </xdr:to>
    <xdr:pic>
      <xdr:nvPicPr>
        <xdr:cNvPr id="9" name="Gráfico 8" descr="Autobús">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 uri="{96DAC541-7B7A-43D3-8B79-37D633B846F1}">
              <asvg:svgBlip xmlns:asvg="http://schemas.microsoft.com/office/drawing/2016/SVG/main" xmlns="" r:embed="rId8"/>
            </a:ext>
          </a:extLst>
        </a:blip>
        <a:stretch>
          <a:fillRect/>
        </a:stretch>
      </xdr:blipFill>
      <xdr:spPr>
        <a:xfrm>
          <a:off x="8415745" y="2458183"/>
          <a:ext cx="476250" cy="490904"/>
        </a:xfrm>
        <a:prstGeom prst="rect">
          <a:avLst/>
        </a:prstGeom>
      </xdr:spPr>
    </xdr:pic>
    <xdr:clientData/>
  </xdr:twoCellAnchor>
  <xdr:twoCellAnchor editAs="oneCell">
    <xdr:from>
      <xdr:col>4</xdr:col>
      <xdr:colOff>85725</xdr:colOff>
      <xdr:row>48</xdr:row>
      <xdr:rowOff>114300</xdr:rowOff>
    </xdr:from>
    <xdr:to>
      <xdr:col>4</xdr:col>
      <xdr:colOff>657225</xdr:colOff>
      <xdr:row>51</xdr:row>
      <xdr:rowOff>142875</xdr:rowOff>
    </xdr:to>
    <xdr:pic>
      <xdr:nvPicPr>
        <xdr:cNvPr id="10" name="Gráfico 9" descr="Dormir">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 uri="{96DAC541-7B7A-43D3-8B79-37D633B846F1}">
              <asvg:svgBlip xmlns:asvg="http://schemas.microsoft.com/office/drawing/2016/SVG/main" xmlns="" r:embed="rId10"/>
            </a:ext>
          </a:extLst>
        </a:blip>
        <a:stretch>
          <a:fillRect/>
        </a:stretch>
      </xdr:blipFill>
      <xdr:spPr>
        <a:xfrm>
          <a:off x="6200775" y="4876800"/>
          <a:ext cx="571500" cy="571500"/>
        </a:xfrm>
        <a:prstGeom prst="rect">
          <a:avLst/>
        </a:prstGeom>
      </xdr:spPr>
    </xdr:pic>
    <xdr:clientData/>
  </xdr:twoCellAnchor>
  <xdr:twoCellAnchor>
    <xdr:from>
      <xdr:col>1</xdr:col>
      <xdr:colOff>20782</xdr:colOff>
      <xdr:row>66</xdr:row>
      <xdr:rowOff>88609</xdr:rowOff>
    </xdr:from>
    <xdr:to>
      <xdr:col>3</xdr:col>
      <xdr:colOff>725632</xdr:colOff>
      <xdr:row>69</xdr:row>
      <xdr:rowOff>60034</xdr:rowOff>
    </xdr:to>
    <xdr:sp macro="" textlink="">
      <xdr:nvSpPr>
        <xdr:cNvPr id="11" name="Rectángulo: esquinas redondeadas 10">
          <a:extLst>
            <a:ext uri="{FF2B5EF4-FFF2-40B4-BE49-F238E27FC236}">
              <a16:creationId xmlns:a16="http://schemas.microsoft.com/office/drawing/2014/main" xmlns="" id="{00000000-0008-0000-0200-00000B000000}"/>
            </a:ext>
          </a:extLst>
        </xdr:cNvPr>
        <xdr:cNvSpPr/>
      </xdr:nvSpPr>
      <xdr:spPr>
        <a:xfrm>
          <a:off x="346220" y="8280109"/>
          <a:ext cx="5475287" cy="54292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ctr"/>
          <a:r>
            <a:rPr lang="en-US" sz="1600" b="1">
              <a:latin typeface="Arial" panose="020B0604020202020204" pitchFamily="34" charset="0"/>
              <a:cs typeface="Arial" panose="020B0604020202020204" pitchFamily="34" charset="0"/>
            </a:rPr>
            <a:t>Fase de Producción</a:t>
          </a:r>
        </a:p>
      </xdr:txBody>
    </xdr:sp>
    <xdr:clientData/>
  </xdr:twoCellAnchor>
  <xdr:twoCellAnchor>
    <xdr:from>
      <xdr:col>1</xdr:col>
      <xdr:colOff>19050</xdr:colOff>
      <xdr:row>69</xdr:row>
      <xdr:rowOff>101312</xdr:rowOff>
    </xdr:from>
    <xdr:to>
      <xdr:col>12</xdr:col>
      <xdr:colOff>753341</xdr:colOff>
      <xdr:row>70</xdr:row>
      <xdr:rowOff>177512</xdr:rowOff>
    </xdr:to>
    <xdr:sp macro="" textlink="">
      <xdr:nvSpPr>
        <xdr:cNvPr id="12" name="Rectángulo 11">
          <a:extLst>
            <a:ext uri="{FF2B5EF4-FFF2-40B4-BE49-F238E27FC236}">
              <a16:creationId xmlns:a16="http://schemas.microsoft.com/office/drawing/2014/main" xmlns="" id="{00000000-0008-0000-0200-00000C000000}"/>
            </a:ext>
          </a:extLst>
        </xdr:cNvPr>
        <xdr:cNvSpPr/>
      </xdr:nvSpPr>
      <xdr:spPr>
        <a:xfrm>
          <a:off x="19050" y="8864312"/>
          <a:ext cx="13421591"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Viajes de</a:t>
          </a:r>
          <a:r>
            <a:rPr lang="en-US" sz="1100" b="1" baseline="0"/>
            <a:t> producción en vehículo propio o de alquiler</a:t>
          </a:r>
          <a:endParaRPr lang="en-US" sz="1100" b="1"/>
        </a:p>
      </xdr:txBody>
    </xdr:sp>
    <xdr:clientData/>
  </xdr:twoCellAnchor>
  <xdr:twoCellAnchor>
    <xdr:from>
      <xdr:col>1</xdr:col>
      <xdr:colOff>0</xdr:colOff>
      <xdr:row>87</xdr:row>
      <xdr:rowOff>109104</xdr:rowOff>
    </xdr:from>
    <xdr:to>
      <xdr:col>13</xdr:col>
      <xdr:colOff>0</xdr:colOff>
      <xdr:row>88</xdr:row>
      <xdr:rowOff>185304</xdr:rowOff>
    </xdr:to>
    <xdr:sp macro="" textlink="">
      <xdr:nvSpPr>
        <xdr:cNvPr id="13" name="Rectángulo 12">
          <a:extLst>
            <a:ext uri="{FF2B5EF4-FFF2-40B4-BE49-F238E27FC236}">
              <a16:creationId xmlns:a16="http://schemas.microsoft.com/office/drawing/2014/main" xmlns="" id="{00000000-0008-0000-0200-00000D000000}"/>
            </a:ext>
          </a:extLst>
        </xdr:cNvPr>
        <xdr:cNvSpPr/>
      </xdr:nvSpPr>
      <xdr:spPr>
        <a:xfrm>
          <a:off x="0" y="10777104"/>
          <a:ext cx="13449300"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Viajes de</a:t>
          </a:r>
          <a:r>
            <a:rPr lang="en-US" sz="1100" b="1" baseline="0"/>
            <a:t> personas de producción en trasporte colectivo de viajeros tren, bus o avión</a:t>
          </a:r>
          <a:endParaRPr lang="en-US" sz="1100" b="1"/>
        </a:p>
      </xdr:txBody>
    </xdr:sp>
    <xdr:clientData/>
  </xdr:twoCellAnchor>
  <xdr:twoCellAnchor>
    <xdr:from>
      <xdr:col>1</xdr:col>
      <xdr:colOff>9525</xdr:colOff>
      <xdr:row>101</xdr:row>
      <xdr:rowOff>102177</xdr:rowOff>
    </xdr:from>
    <xdr:to>
      <xdr:col>13</xdr:col>
      <xdr:colOff>0</xdr:colOff>
      <xdr:row>102</xdr:row>
      <xdr:rowOff>178377</xdr:rowOff>
    </xdr:to>
    <xdr:sp macro="" textlink="">
      <xdr:nvSpPr>
        <xdr:cNvPr id="14" name="Rectángulo 13">
          <a:extLst>
            <a:ext uri="{FF2B5EF4-FFF2-40B4-BE49-F238E27FC236}">
              <a16:creationId xmlns:a16="http://schemas.microsoft.com/office/drawing/2014/main" xmlns="" id="{00000000-0008-0000-0200-00000E000000}"/>
            </a:ext>
          </a:extLst>
        </xdr:cNvPr>
        <xdr:cNvSpPr/>
      </xdr:nvSpPr>
      <xdr:spPr>
        <a:xfrm>
          <a:off x="9525" y="13437177"/>
          <a:ext cx="13439775"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Hospedaje</a:t>
          </a:r>
        </a:p>
      </xdr:txBody>
    </xdr:sp>
    <xdr:clientData/>
  </xdr:twoCellAnchor>
  <xdr:twoCellAnchor editAs="oneCell">
    <xdr:from>
      <xdr:col>4</xdr:col>
      <xdr:colOff>39832</xdr:colOff>
      <xdr:row>17</xdr:row>
      <xdr:rowOff>161925</xdr:rowOff>
    </xdr:from>
    <xdr:to>
      <xdr:col>4</xdr:col>
      <xdr:colOff>592282</xdr:colOff>
      <xdr:row>21</xdr:row>
      <xdr:rowOff>0</xdr:rowOff>
    </xdr:to>
    <xdr:pic>
      <xdr:nvPicPr>
        <xdr:cNvPr id="15" name="Gráfico 14" descr="Coche">
          <a:extLst>
            <a:ext uri="{FF2B5EF4-FFF2-40B4-BE49-F238E27FC236}">
              <a16:creationId xmlns:a16="http://schemas.microsoft.com/office/drawing/2014/main" xmlns="" id="{00000000-0008-0000-02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a:xfrm>
          <a:off x="6154882" y="542925"/>
          <a:ext cx="552450" cy="552450"/>
        </a:xfrm>
        <a:prstGeom prst="rect">
          <a:avLst/>
        </a:prstGeom>
      </xdr:spPr>
    </xdr:pic>
    <xdr:clientData/>
  </xdr:twoCellAnchor>
  <xdr:twoCellAnchor editAs="oneCell">
    <xdr:from>
      <xdr:col>4</xdr:col>
      <xdr:colOff>105641</xdr:colOff>
      <xdr:row>68</xdr:row>
      <xdr:rowOff>149801</xdr:rowOff>
    </xdr:from>
    <xdr:to>
      <xdr:col>4</xdr:col>
      <xdr:colOff>658091</xdr:colOff>
      <xdr:row>71</xdr:row>
      <xdr:rowOff>159326</xdr:rowOff>
    </xdr:to>
    <xdr:pic>
      <xdr:nvPicPr>
        <xdr:cNvPr id="16" name="Gráfico 15" descr="Coche">
          <a:extLst>
            <a:ext uri="{FF2B5EF4-FFF2-40B4-BE49-F238E27FC236}">
              <a16:creationId xmlns:a16="http://schemas.microsoft.com/office/drawing/2014/main" xmlns="" id="{00000000-0008-0000-02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a:xfrm>
          <a:off x="6220691" y="8722301"/>
          <a:ext cx="552450" cy="552450"/>
        </a:xfrm>
        <a:prstGeom prst="rect">
          <a:avLst/>
        </a:prstGeom>
      </xdr:spPr>
    </xdr:pic>
    <xdr:clientData/>
  </xdr:twoCellAnchor>
  <xdr:twoCellAnchor editAs="oneCell">
    <xdr:from>
      <xdr:col>4</xdr:col>
      <xdr:colOff>589015</xdr:colOff>
      <xdr:row>86</xdr:row>
      <xdr:rowOff>168241</xdr:rowOff>
    </xdr:from>
    <xdr:to>
      <xdr:col>4</xdr:col>
      <xdr:colOff>993140</xdr:colOff>
      <xdr:row>89</xdr:row>
      <xdr:rowOff>29441</xdr:rowOff>
    </xdr:to>
    <xdr:pic>
      <xdr:nvPicPr>
        <xdr:cNvPr id="20" name="Gráfico 19" descr="Tren">
          <a:extLst>
            <a:ext uri="{FF2B5EF4-FFF2-40B4-BE49-F238E27FC236}">
              <a16:creationId xmlns:a16="http://schemas.microsoft.com/office/drawing/2014/main" xmlns="" id="{00000000-0008-0000-0200-00001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xmlns="" val="0"/>
            </a:ext>
            <a:ext uri="{96DAC541-7B7A-43D3-8B79-37D633B846F1}">
              <asvg:svgBlip xmlns:asvg="http://schemas.microsoft.com/office/drawing/2016/SVG/main" xmlns="" r:embed="rId4"/>
            </a:ext>
          </a:extLst>
        </a:blip>
        <a:stretch>
          <a:fillRect/>
        </a:stretch>
      </xdr:blipFill>
      <xdr:spPr>
        <a:xfrm>
          <a:off x="6704065" y="10645741"/>
          <a:ext cx="404125" cy="404125"/>
        </a:xfrm>
        <a:prstGeom prst="rect">
          <a:avLst/>
        </a:prstGeom>
      </xdr:spPr>
    </xdr:pic>
    <xdr:clientData/>
  </xdr:twoCellAnchor>
  <xdr:twoCellAnchor editAs="oneCell">
    <xdr:from>
      <xdr:col>3</xdr:col>
      <xdr:colOff>1328700</xdr:colOff>
      <xdr:row>86</xdr:row>
      <xdr:rowOff>168673</xdr:rowOff>
    </xdr:from>
    <xdr:to>
      <xdr:col>4</xdr:col>
      <xdr:colOff>424004</xdr:colOff>
      <xdr:row>89</xdr:row>
      <xdr:rowOff>54552</xdr:rowOff>
    </xdr:to>
    <xdr:pic>
      <xdr:nvPicPr>
        <xdr:cNvPr id="21" name="Gráfico 20" descr="Avión">
          <a:extLst>
            <a:ext uri="{FF2B5EF4-FFF2-40B4-BE49-F238E27FC236}">
              <a16:creationId xmlns:a16="http://schemas.microsoft.com/office/drawing/2014/main" xmlns="" id="{00000000-0008-0000-02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 uri="{96DAC541-7B7A-43D3-8B79-37D633B846F1}">
              <asvg:svgBlip xmlns:asvg="http://schemas.microsoft.com/office/drawing/2016/SVG/main" xmlns="" r:embed="rId6"/>
            </a:ext>
          </a:extLst>
        </a:blip>
        <a:stretch>
          <a:fillRect/>
        </a:stretch>
      </xdr:blipFill>
      <xdr:spPr>
        <a:xfrm>
          <a:off x="6110250" y="10646173"/>
          <a:ext cx="428804" cy="428804"/>
        </a:xfrm>
        <a:prstGeom prst="rect">
          <a:avLst/>
        </a:prstGeom>
      </xdr:spPr>
    </xdr:pic>
    <xdr:clientData/>
  </xdr:twoCellAnchor>
  <xdr:twoCellAnchor editAs="oneCell">
    <xdr:from>
      <xdr:col>4</xdr:col>
      <xdr:colOff>1233651</xdr:colOff>
      <xdr:row>86</xdr:row>
      <xdr:rowOff>130752</xdr:rowOff>
    </xdr:from>
    <xdr:to>
      <xdr:col>5</xdr:col>
      <xdr:colOff>471652</xdr:colOff>
      <xdr:row>89</xdr:row>
      <xdr:rowOff>64077</xdr:rowOff>
    </xdr:to>
    <xdr:pic>
      <xdr:nvPicPr>
        <xdr:cNvPr id="22" name="Gráfico 21" descr="Autobús">
          <a:extLst>
            <a:ext uri="{FF2B5EF4-FFF2-40B4-BE49-F238E27FC236}">
              <a16:creationId xmlns:a16="http://schemas.microsoft.com/office/drawing/2014/main" xmlns="" id="{00000000-0008-0000-0200-00001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 uri="{96DAC541-7B7A-43D3-8B79-37D633B846F1}">
              <asvg:svgBlip xmlns:asvg="http://schemas.microsoft.com/office/drawing/2016/SVG/main" xmlns="" r:embed="rId8"/>
            </a:ext>
          </a:extLst>
        </a:blip>
        <a:stretch>
          <a:fillRect/>
        </a:stretch>
      </xdr:blipFill>
      <xdr:spPr>
        <a:xfrm>
          <a:off x="7348701" y="10608252"/>
          <a:ext cx="476250" cy="476250"/>
        </a:xfrm>
        <a:prstGeom prst="rect">
          <a:avLst/>
        </a:prstGeom>
      </xdr:spPr>
    </xdr:pic>
    <xdr:clientData/>
  </xdr:twoCellAnchor>
  <xdr:twoCellAnchor>
    <xdr:from>
      <xdr:col>1</xdr:col>
      <xdr:colOff>0</xdr:colOff>
      <xdr:row>118</xdr:row>
      <xdr:rowOff>103905</xdr:rowOff>
    </xdr:from>
    <xdr:to>
      <xdr:col>12</xdr:col>
      <xdr:colOff>753341</xdr:colOff>
      <xdr:row>119</xdr:row>
      <xdr:rowOff>180105</xdr:rowOff>
    </xdr:to>
    <xdr:sp macro="" textlink="">
      <xdr:nvSpPr>
        <xdr:cNvPr id="23" name="Rectángulo 22">
          <a:extLst>
            <a:ext uri="{FF2B5EF4-FFF2-40B4-BE49-F238E27FC236}">
              <a16:creationId xmlns:a16="http://schemas.microsoft.com/office/drawing/2014/main" xmlns="" id="{00000000-0008-0000-0200-000017000000}"/>
            </a:ext>
          </a:extLst>
        </xdr:cNvPr>
        <xdr:cNvSpPr/>
      </xdr:nvSpPr>
      <xdr:spPr>
        <a:xfrm>
          <a:off x="0" y="16486905"/>
          <a:ext cx="13440641"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Catering</a:t>
          </a:r>
        </a:p>
      </xdr:txBody>
    </xdr:sp>
    <xdr:clientData/>
  </xdr:twoCellAnchor>
  <xdr:twoCellAnchor editAs="oneCell">
    <xdr:from>
      <xdr:col>4</xdr:col>
      <xdr:colOff>60614</xdr:colOff>
      <xdr:row>100</xdr:row>
      <xdr:rowOff>103909</xdr:rowOff>
    </xdr:from>
    <xdr:to>
      <xdr:col>4</xdr:col>
      <xdr:colOff>632114</xdr:colOff>
      <xdr:row>103</xdr:row>
      <xdr:rowOff>132484</xdr:rowOff>
    </xdr:to>
    <xdr:pic>
      <xdr:nvPicPr>
        <xdr:cNvPr id="24" name="Gráfico 23" descr="Dormir">
          <a:extLst>
            <a:ext uri="{FF2B5EF4-FFF2-40B4-BE49-F238E27FC236}">
              <a16:creationId xmlns:a16="http://schemas.microsoft.com/office/drawing/2014/main" xmlns=""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 uri="{96DAC541-7B7A-43D3-8B79-37D633B846F1}">
              <asvg:svgBlip xmlns:asvg="http://schemas.microsoft.com/office/drawing/2016/SVG/main" xmlns="" r:embed="rId10"/>
            </a:ext>
          </a:extLst>
        </a:blip>
        <a:stretch>
          <a:fillRect/>
        </a:stretch>
      </xdr:blipFill>
      <xdr:spPr>
        <a:xfrm>
          <a:off x="6175664" y="13248409"/>
          <a:ext cx="571500" cy="571500"/>
        </a:xfrm>
        <a:prstGeom prst="rect">
          <a:avLst/>
        </a:prstGeom>
      </xdr:spPr>
    </xdr:pic>
    <xdr:clientData/>
  </xdr:twoCellAnchor>
  <xdr:twoCellAnchor>
    <xdr:from>
      <xdr:col>1</xdr:col>
      <xdr:colOff>0</xdr:colOff>
      <xdr:row>136</xdr:row>
      <xdr:rowOff>103908</xdr:rowOff>
    </xdr:from>
    <xdr:to>
      <xdr:col>12</xdr:col>
      <xdr:colOff>753341</xdr:colOff>
      <xdr:row>137</xdr:row>
      <xdr:rowOff>180108</xdr:rowOff>
    </xdr:to>
    <xdr:sp macro="" textlink="">
      <xdr:nvSpPr>
        <xdr:cNvPr id="25" name="Rectángulo 24">
          <a:extLst>
            <a:ext uri="{FF2B5EF4-FFF2-40B4-BE49-F238E27FC236}">
              <a16:creationId xmlns:a16="http://schemas.microsoft.com/office/drawing/2014/main" xmlns="" id="{00000000-0008-0000-0200-000019000000}"/>
            </a:ext>
          </a:extLst>
        </xdr:cNvPr>
        <xdr:cNvSpPr/>
      </xdr:nvSpPr>
      <xdr:spPr>
        <a:xfrm>
          <a:off x="0" y="19915908"/>
          <a:ext cx="13440641"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Generación</a:t>
          </a:r>
          <a:r>
            <a:rPr lang="en-US" sz="1100" b="1" baseline="0"/>
            <a:t> de electricidad</a:t>
          </a:r>
          <a:endParaRPr lang="en-US" sz="1100" b="1"/>
        </a:p>
      </xdr:txBody>
    </xdr:sp>
    <xdr:clientData/>
  </xdr:twoCellAnchor>
  <xdr:twoCellAnchor>
    <xdr:from>
      <xdr:col>1</xdr:col>
      <xdr:colOff>8659</xdr:colOff>
      <xdr:row>146</xdr:row>
      <xdr:rowOff>112568</xdr:rowOff>
    </xdr:from>
    <xdr:to>
      <xdr:col>13</xdr:col>
      <xdr:colOff>8659</xdr:colOff>
      <xdr:row>147</xdr:row>
      <xdr:rowOff>188768</xdr:rowOff>
    </xdr:to>
    <xdr:sp macro="" textlink="">
      <xdr:nvSpPr>
        <xdr:cNvPr id="26" name="Rectángulo 25">
          <a:extLst>
            <a:ext uri="{FF2B5EF4-FFF2-40B4-BE49-F238E27FC236}">
              <a16:creationId xmlns:a16="http://schemas.microsoft.com/office/drawing/2014/main" xmlns="" id="{00000000-0008-0000-0200-00001A000000}"/>
            </a:ext>
          </a:extLst>
        </xdr:cNvPr>
        <xdr:cNvSpPr/>
      </xdr:nvSpPr>
      <xdr:spPr>
        <a:xfrm>
          <a:off x="8659" y="21258068"/>
          <a:ext cx="13449300"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Proveedor Electrico</a:t>
          </a:r>
        </a:p>
      </xdr:txBody>
    </xdr:sp>
    <xdr:clientData/>
  </xdr:twoCellAnchor>
  <xdr:twoCellAnchor>
    <xdr:from>
      <xdr:col>1</xdr:col>
      <xdr:colOff>0</xdr:colOff>
      <xdr:row>174</xdr:row>
      <xdr:rowOff>112568</xdr:rowOff>
    </xdr:from>
    <xdr:to>
      <xdr:col>13</xdr:col>
      <xdr:colOff>0</xdr:colOff>
      <xdr:row>175</xdr:row>
      <xdr:rowOff>188768</xdr:rowOff>
    </xdr:to>
    <xdr:sp macro="" textlink="">
      <xdr:nvSpPr>
        <xdr:cNvPr id="27" name="Rectángulo 26">
          <a:extLst>
            <a:ext uri="{FF2B5EF4-FFF2-40B4-BE49-F238E27FC236}">
              <a16:creationId xmlns:a16="http://schemas.microsoft.com/office/drawing/2014/main" xmlns="" id="{00000000-0008-0000-0200-00001B000000}"/>
            </a:ext>
          </a:extLst>
        </xdr:cNvPr>
        <xdr:cNvSpPr/>
      </xdr:nvSpPr>
      <xdr:spPr>
        <a:xfrm>
          <a:off x="0" y="23734568"/>
          <a:ext cx="13449300"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Residuos</a:t>
          </a:r>
        </a:p>
      </xdr:txBody>
    </xdr:sp>
    <xdr:clientData/>
  </xdr:twoCellAnchor>
  <xdr:twoCellAnchor editAs="oneCell">
    <xdr:from>
      <xdr:col>4</xdr:col>
      <xdr:colOff>95251</xdr:colOff>
      <xdr:row>117</xdr:row>
      <xdr:rowOff>95249</xdr:rowOff>
    </xdr:from>
    <xdr:to>
      <xdr:col>4</xdr:col>
      <xdr:colOff>576697</xdr:colOff>
      <xdr:row>120</xdr:row>
      <xdr:rowOff>33770</xdr:rowOff>
    </xdr:to>
    <xdr:pic>
      <xdr:nvPicPr>
        <xdr:cNvPr id="28" name="Gráfico 27" descr="Cuchillo y tenedor">
          <a:extLst>
            <a:ext uri="{FF2B5EF4-FFF2-40B4-BE49-F238E27FC236}">
              <a16:creationId xmlns:a16="http://schemas.microsoft.com/office/drawing/2014/main" xmlns="" id="{00000000-0008-0000-0200-00001C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xmlns="" val="0"/>
            </a:ext>
            <a:ext uri="{96DAC541-7B7A-43D3-8B79-37D633B846F1}">
              <asvg:svgBlip xmlns:asvg="http://schemas.microsoft.com/office/drawing/2016/SVG/main" xmlns="" r:embed="rId14"/>
            </a:ext>
          </a:extLst>
        </a:blip>
        <a:stretch>
          <a:fillRect/>
        </a:stretch>
      </xdr:blipFill>
      <xdr:spPr>
        <a:xfrm>
          <a:off x="6210301" y="16287749"/>
          <a:ext cx="481446" cy="481446"/>
        </a:xfrm>
        <a:prstGeom prst="rect">
          <a:avLst/>
        </a:prstGeom>
      </xdr:spPr>
    </xdr:pic>
    <xdr:clientData/>
  </xdr:twoCellAnchor>
  <xdr:twoCellAnchor editAs="oneCell">
    <xdr:from>
      <xdr:col>4</xdr:col>
      <xdr:colOff>77931</xdr:colOff>
      <xdr:row>174</xdr:row>
      <xdr:rowOff>0</xdr:rowOff>
    </xdr:from>
    <xdr:to>
      <xdr:col>4</xdr:col>
      <xdr:colOff>545795</xdr:colOff>
      <xdr:row>176</xdr:row>
      <xdr:rowOff>105914</xdr:rowOff>
    </xdr:to>
    <xdr:pic>
      <xdr:nvPicPr>
        <xdr:cNvPr id="29" name="Gráfico 28" descr="Reciclaje">
          <a:extLst>
            <a:ext uri="{FF2B5EF4-FFF2-40B4-BE49-F238E27FC236}">
              <a16:creationId xmlns:a16="http://schemas.microsoft.com/office/drawing/2014/main" xmlns="" id="{00000000-0008-0000-0200-00001D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xmlns="" val="0"/>
            </a:ext>
            <a:ext uri="{96DAC541-7B7A-43D3-8B79-37D633B846F1}">
              <asvg:svgBlip xmlns:asvg="http://schemas.microsoft.com/office/drawing/2016/SVG/main" xmlns="" r:embed="rId16"/>
            </a:ext>
          </a:extLst>
        </a:blip>
        <a:stretch>
          <a:fillRect/>
        </a:stretch>
      </xdr:blipFill>
      <xdr:spPr>
        <a:xfrm rot="10800000" flipV="1">
          <a:off x="6192981" y="23622000"/>
          <a:ext cx="467864" cy="467864"/>
        </a:xfrm>
        <a:prstGeom prst="rect">
          <a:avLst/>
        </a:prstGeom>
      </xdr:spPr>
    </xdr:pic>
    <xdr:clientData/>
  </xdr:twoCellAnchor>
  <xdr:twoCellAnchor editAs="oneCell">
    <xdr:from>
      <xdr:col>4</xdr:col>
      <xdr:colOff>14251</xdr:colOff>
      <xdr:row>135</xdr:row>
      <xdr:rowOff>97378</xdr:rowOff>
    </xdr:from>
    <xdr:to>
      <xdr:col>4</xdr:col>
      <xdr:colOff>482115</xdr:colOff>
      <xdr:row>138</xdr:row>
      <xdr:rowOff>27079</xdr:rowOff>
    </xdr:to>
    <xdr:pic>
      <xdr:nvPicPr>
        <xdr:cNvPr id="30" name="Gráfico 29" descr="Engranajes">
          <a:extLst>
            <a:ext uri="{FF2B5EF4-FFF2-40B4-BE49-F238E27FC236}">
              <a16:creationId xmlns:a16="http://schemas.microsoft.com/office/drawing/2014/main" xmlns="" id="{00000000-0008-0000-0200-00001E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xmlns="" val="0"/>
            </a:ext>
            <a:ext uri="{96DAC541-7B7A-43D3-8B79-37D633B846F1}">
              <asvg:svgBlip xmlns:asvg="http://schemas.microsoft.com/office/drawing/2016/SVG/main" xmlns="" r:embed="rId18"/>
            </a:ext>
          </a:extLst>
        </a:blip>
        <a:stretch>
          <a:fillRect/>
        </a:stretch>
      </xdr:blipFill>
      <xdr:spPr>
        <a:xfrm flipV="1">
          <a:off x="6129301" y="19718878"/>
          <a:ext cx="467864" cy="467864"/>
        </a:xfrm>
        <a:prstGeom prst="rect">
          <a:avLst/>
        </a:prstGeom>
      </xdr:spPr>
    </xdr:pic>
    <xdr:clientData/>
  </xdr:twoCellAnchor>
  <xdr:twoCellAnchor editAs="oneCell">
    <xdr:from>
      <xdr:col>4</xdr:col>
      <xdr:colOff>86319</xdr:colOff>
      <xdr:row>146</xdr:row>
      <xdr:rowOff>0</xdr:rowOff>
    </xdr:from>
    <xdr:to>
      <xdr:col>4</xdr:col>
      <xdr:colOff>554183</xdr:colOff>
      <xdr:row>148</xdr:row>
      <xdr:rowOff>105914</xdr:rowOff>
    </xdr:to>
    <xdr:pic>
      <xdr:nvPicPr>
        <xdr:cNvPr id="31" name="Gráfico 30" descr="Indicador">
          <a:extLst>
            <a:ext uri="{FF2B5EF4-FFF2-40B4-BE49-F238E27FC236}">
              <a16:creationId xmlns:a16="http://schemas.microsoft.com/office/drawing/2014/main" xmlns="" id="{00000000-0008-0000-0200-00001F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xmlns="" val="0"/>
            </a:ext>
            <a:ext uri="{96DAC541-7B7A-43D3-8B79-37D633B846F1}">
              <asvg:svgBlip xmlns:asvg="http://schemas.microsoft.com/office/drawing/2016/SVG/main" xmlns="" r:embed="rId20"/>
            </a:ext>
          </a:extLst>
        </a:blip>
        <a:stretch>
          <a:fillRect/>
        </a:stretch>
      </xdr:blipFill>
      <xdr:spPr>
        <a:xfrm rot="10800000" flipV="1">
          <a:off x="6201369" y="21145500"/>
          <a:ext cx="467864" cy="467864"/>
        </a:xfrm>
        <a:prstGeom prst="rect">
          <a:avLst/>
        </a:prstGeom>
      </xdr:spPr>
    </xdr:pic>
    <xdr:clientData/>
  </xdr:twoCellAnchor>
  <xdr:twoCellAnchor>
    <xdr:from>
      <xdr:col>1</xdr:col>
      <xdr:colOff>721</xdr:colOff>
      <xdr:row>160</xdr:row>
      <xdr:rowOff>33193</xdr:rowOff>
    </xdr:from>
    <xdr:to>
      <xdr:col>13</xdr:col>
      <xdr:colOff>721</xdr:colOff>
      <xdr:row>161</xdr:row>
      <xdr:rowOff>109393</xdr:rowOff>
    </xdr:to>
    <xdr:sp macro="" textlink="">
      <xdr:nvSpPr>
        <xdr:cNvPr id="32" name="Rectángulo 31">
          <a:extLst>
            <a:ext uri="{FF2B5EF4-FFF2-40B4-BE49-F238E27FC236}">
              <a16:creationId xmlns:a16="http://schemas.microsoft.com/office/drawing/2014/main" xmlns="" id="{00000000-0008-0000-0200-000020000000}"/>
            </a:ext>
          </a:extLst>
        </xdr:cNvPr>
        <xdr:cNvSpPr/>
      </xdr:nvSpPr>
      <xdr:spPr>
        <a:xfrm>
          <a:off x="326159" y="24417193"/>
          <a:ext cx="13430250"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Iluminación</a:t>
          </a:r>
        </a:p>
      </xdr:txBody>
    </xdr:sp>
    <xdr:clientData/>
  </xdr:twoCellAnchor>
  <xdr:twoCellAnchor editAs="oneCell">
    <xdr:from>
      <xdr:col>4</xdr:col>
      <xdr:colOff>134939</xdr:colOff>
      <xdr:row>159</xdr:row>
      <xdr:rowOff>111125</xdr:rowOff>
    </xdr:from>
    <xdr:to>
      <xdr:col>4</xdr:col>
      <xdr:colOff>517525</xdr:colOff>
      <xdr:row>161</xdr:row>
      <xdr:rowOff>131761</xdr:rowOff>
    </xdr:to>
    <xdr:pic>
      <xdr:nvPicPr>
        <xdr:cNvPr id="18" name="Gráfico 17" descr="Bombilla">
          <a:extLst>
            <a:ext uri="{FF2B5EF4-FFF2-40B4-BE49-F238E27FC236}">
              <a16:creationId xmlns:a16="http://schemas.microsoft.com/office/drawing/2014/main" xmlns="" id="{00000000-0008-0000-0200-000012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xmlns="" val="0"/>
            </a:ext>
            <a:ext uri="{96DAC541-7B7A-43D3-8B79-37D633B846F1}">
              <asvg:svgBlip xmlns:asvg="http://schemas.microsoft.com/office/drawing/2016/SVG/main" xmlns="" r:embed="rId22"/>
            </a:ext>
          </a:extLst>
        </a:blip>
        <a:stretch>
          <a:fillRect/>
        </a:stretch>
      </xdr:blipFill>
      <xdr:spPr>
        <a:xfrm>
          <a:off x="6564314" y="24304625"/>
          <a:ext cx="382586" cy="382586"/>
        </a:xfrm>
        <a:prstGeom prst="rect">
          <a:avLst/>
        </a:prstGeom>
      </xdr:spPr>
    </xdr:pic>
    <xdr:clientData/>
  </xdr:twoCellAnchor>
  <xdr:twoCellAnchor>
    <xdr:from>
      <xdr:col>1</xdr:col>
      <xdr:colOff>0</xdr:colOff>
      <xdr:row>167</xdr:row>
      <xdr:rowOff>112568</xdr:rowOff>
    </xdr:from>
    <xdr:to>
      <xdr:col>13</xdr:col>
      <xdr:colOff>0</xdr:colOff>
      <xdr:row>168</xdr:row>
      <xdr:rowOff>188768</xdr:rowOff>
    </xdr:to>
    <xdr:sp macro="" textlink="">
      <xdr:nvSpPr>
        <xdr:cNvPr id="34" name="Rectángulo 33">
          <a:extLst>
            <a:ext uri="{FF2B5EF4-FFF2-40B4-BE49-F238E27FC236}">
              <a16:creationId xmlns:a16="http://schemas.microsoft.com/office/drawing/2014/main" xmlns="" id="{00000000-0008-0000-0200-000022000000}"/>
            </a:ext>
          </a:extLst>
        </xdr:cNvPr>
        <xdr:cNvSpPr/>
      </xdr:nvSpPr>
      <xdr:spPr>
        <a:xfrm>
          <a:off x="325438" y="28878068"/>
          <a:ext cx="13430250" cy="2667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Compras</a:t>
          </a:r>
          <a:r>
            <a:rPr lang="en-US" sz="1100" b="1" baseline="0"/>
            <a:t> y adquisiciones</a:t>
          </a:r>
          <a:endParaRPr lang="en-US" sz="1100" b="1"/>
        </a:p>
      </xdr:txBody>
    </xdr:sp>
    <xdr:clientData/>
  </xdr:twoCellAnchor>
  <xdr:twoCellAnchor editAs="oneCell">
    <xdr:from>
      <xdr:col>4</xdr:col>
      <xdr:colOff>150814</xdr:colOff>
      <xdr:row>166</xdr:row>
      <xdr:rowOff>160336</xdr:rowOff>
    </xdr:from>
    <xdr:to>
      <xdr:col>4</xdr:col>
      <xdr:colOff>579439</xdr:colOff>
      <xdr:row>169</xdr:row>
      <xdr:rowOff>46036</xdr:rowOff>
    </xdr:to>
    <xdr:pic>
      <xdr:nvPicPr>
        <xdr:cNvPr id="36" name="Gráfico 35" descr="Bolsa para la compra">
          <a:extLst>
            <a:ext uri="{FF2B5EF4-FFF2-40B4-BE49-F238E27FC236}">
              <a16:creationId xmlns:a16="http://schemas.microsoft.com/office/drawing/2014/main" xmlns="" id="{00000000-0008-0000-0200-000024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xmlns="" val="0"/>
            </a:ext>
            <a:ext uri="{96DAC541-7B7A-43D3-8B79-37D633B846F1}">
              <asvg:svgBlip xmlns:asvg="http://schemas.microsoft.com/office/drawing/2016/SVG/main" xmlns="" r:embed="rId24"/>
            </a:ext>
          </a:extLst>
        </a:blip>
        <a:stretch>
          <a:fillRect/>
        </a:stretch>
      </xdr:blipFill>
      <xdr:spPr>
        <a:xfrm>
          <a:off x="6580189" y="25877836"/>
          <a:ext cx="428625" cy="428625"/>
        </a:xfrm>
        <a:prstGeom prst="rect">
          <a:avLst/>
        </a:prstGeom>
      </xdr:spPr>
    </xdr:pic>
    <xdr:clientData/>
  </xdr:twoCellAnchor>
  <xdr:twoCellAnchor>
    <xdr:from>
      <xdr:col>1</xdr:col>
      <xdr:colOff>29441</xdr:colOff>
      <xdr:row>198</xdr:row>
      <xdr:rowOff>0</xdr:rowOff>
    </xdr:from>
    <xdr:to>
      <xdr:col>3</xdr:col>
      <xdr:colOff>734291</xdr:colOff>
      <xdr:row>200</xdr:row>
      <xdr:rowOff>161925</xdr:rowOff>
    </xdr:to>
    <xdr:sp macro="" textlink="">
      <xdr:nvSpPr>
        <xdr:cNvPr id="37" name="Rectángulo: esquinas redondeadas 36">
          <a:extLst>
            <a:ext uri="{FF2B5EF4-FFF2-40B4-BE49-F238E27FC236}">
              <a16:creationId xmlns:a16="http://schemas.microsoft.com/office/drawing/2014/main" xmlns="" id="{00000000-0008-0000-0200-000025000000}"/>
            </a:ext>
          </a:extLst>
        </xdr:cNvPr>
        <xdr:cNvSpPr/>
      </xdr:nvSpPr>
      <xdr:spPr>
        <a:xfrm>
          <a:off x="354879" y="31432500"/>
          <a:ext cx="5475287" cy="54292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n-US" sz="1600">
              <a:latin typeface="Arial" panose="020B0604020202020204" pitchFamily="34" charset="0"/>
              <a:cs typeface="Arial" panose="020B0604020202020204" pitchFamily="34" charset="0"/>
            </a:rPr>
            <a:t>Fase de Postproducción</a:t>
          </a:r>
        </a:p>
      </xdr:txBody>
    </xdr:sp>
    <xdr:clientData/>
  </xdr:twoCellAnchor>
  <xdr:twoCellAnchor>
    <xdr:from>
      <xdr:col>1</xdr:col>
      <xdr:colOff>34925</xdr:colOff>
      <xdr:row>201</xdr:row>
      <xdr:rowOff>84139</xdr:rowOff>
    </xdr:from>
    <xdr:to>
      <xdr:col>13</xdr:col>
      <xdr:colOff>15875</xdr:colOff>
      <xdr:row>202</xdr:row>
      <xdr:rowOff>160339</xdr:rowOff>
    </xdr:to>
    <xdr:sp macro="" textlink="">
      <xdr:nvSpPr>
        <xdr:cNvPr id="38" name="Rectángulo 37">
          <a:extLst>
            <a:ext uri="{FF2B5EF4-FFF2-40B4-BE49-F238E27FC236}">
              <a16:creationId xmlns:a16="http://schemas.microsoft.com/office/drawing/2014/main" xmlns="" id="{00000000-0008-0000-0200-000026000000}"/>
            </a:ext>
          </a:extLst>
        </xdr:cNvPr>
        <xdr:cNvSpPr/>
      </xdr:nvSpPr>
      <xdr:spPr>
        <a:xfrm>
          <a:off x="360363" y="32088139"/>
          <a:ext cx="13411200" cy="2667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b="1"/>
            <a:t>Postproducción</a:t>
          </a:r>
        </a:p>
      </xdr:txBody>
    </xdr:sp>
    <xdr:clientData/>
  </xdr:twoCellAnchor>
  <xdr:twoCellAnchor editAs="oneCell">
    <xdr:from>
      <xdr:col>4</xdr:col>
      <xdr:colOff>309563</xdr:colOff>
      <xdr:row>200</xdr:row>
      <xdr:rowOff>127000</xdr:rowOff>
    </xdr:from>
    <xdr:to>
      <xdr:col>4</xdr:col>
      <xdr:colOff>730251</xdr:colOff>
      <xdr:row>203</xdr:row>
      <xdr:rowOff>14288</xdr:rowOff>
    </xdr:to>
    <xdr:pic>
      <xdr:nvPicPr>
        <xdr:cNvPr id="45" name="Gráfico 44" descr="Cinta de cine">
          <a:extLst>
            <a:ext uri="{FF2B5EF4-FFF2-40B4-BE49-F238E27FC236}">
              <a16:creationId xmlns:a16="http://schemas.microsoft.com/office/drawing/2014/main" xmlns="" id="{00000000-0008-0000-0200-00002D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xmlns="" val="0"/>
            </a:ext>
            <a:ext uri="{96DAC541-7B7A-43D3-8B79-37D633B846F1}">
              <asvg:svgBlip xmlns:asvg="http://schemas.microsoft.com/office/drawing/2016/SVG/main" xmlns="" r:embed="rId26"/>
            </a:ext>
          </a:extLst>
        </a:blip>
        <a:stretch>
          <a:fillRect/>
        </a:stretch>
      </xdr:blipFill>
      <xdr:spPr>
        <a:xfrm>
          <a:off x="6738938" y="31940500"/>
          <a:ext cx="420688" cy="420688"/>
        </a:xfrm>
        <a:prstGeom prst="rect">
          <a:avLst/>
        </a:prstGeom>
      </xdr:spPr>
    </xdr:pic>
    <xdr:clientData/>
  </xdr:twoCellAnchor>
  <xdr:twoCellAnchor>
    <xdr:from>
      <xdr:col>1</xdr:col>
      <xdr:colOff>23813</xdr:colOff>
      <xdr:row>0</xdr:row>
      <xdr:rowOff>23813</xdr:rowOff>
    </xdr:from>
    <xdr:to>
      <xdr:col>3</xdr:col>
      <xdr:colOff>728663</xdr:colOff>
      <xdr:row>2</xdr:row>
      <xdr:rowOff>185738</xdr:rowOff>
    </xdr:to>
    <xdr:sp macro="" textlink="">
      <xdr:nvSpPr>
        <xdr:cNvPr id="39" name="Rectángulo: esquinas redondeadas 38">
          <a:extLst>
            <a:ext uri="{FF2B5EF4-FFF2-40B4-BE49-F238E27FC236}">
              <a16:creationId xmlns:a16="http://schemas.microsoft.com/office/drawing/2014/main" xmlns="" id="{00000000-0008-0000-0200-000027000000}"/>
            </a:ext>
          </a:extLst>
        </xdr:cNvPr>
        <xdr:cNvSpPr/>
      </xdr:nvSpPr>
      <xdr:spPr>
        <a:xfrm>
          <a:off x="349251" y="23813"/>
          <a:ext cx="5475287" cy="542925"/>
        </a:xfrm>
        <a:prstGeom prst="roundRect">
          <a:avLst/>
        </a:prstGeom>
        <a:solidFill>
          <a:schemeClr val="bg2">
            <a:lumMod val="2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US" sz="1600">
              <a:latin typeface="Arial" panose="020B0604020202020204" pitchFamily="34" charset="0"/>
              <a:cs typeface="Arial" panose="020B0604020202020204" pitchFamily="34" charset="0"/>
            </a:rPr>
            <a:t>Datos Generales de la Producción</a:t>
          </a:r>
        </a:p>
      </xdr:txBody>
    </xdr:sp>
    <xdr:clientData/>
  </xdr:twoCellAnchor>
  <xdr:twoCellAnchor>
    <xdr:from>
      <xdr:col>1</xdr:col>
      <xdr:colOff>0</xdr:colOff>
      <xdr:row>185</xdr:row>
      <xdr:rowOff>0</xdr:rowOff>
    </xdr:from>
    <xdr:to>
      <xdr:col>13</xdr:col>
      <xdr:colOff>0</xdr:colOff>
      <xdr:row>186</xdr:row>
      <xdr:rowOff>57150</xdr:rowOff>
    </xdr:to>
    <xdr:sp macro="" textlink="">
      <xdr:nvSpPr>
        <xdr:cNvPr id="41" name="Rectángulo 40">
          <a:extLst>
            <a:ext uri="{FF2B5EF4-FFF2-40B4-BE49-F238E27FC236}">
              <a16:creationId xmlns:a16="http://schemas.microsoft.com/office/drawing/2014/main" xmlns="" id="{00000000-0008-0000-0200-000029000000}"/>
            </a:ext>
          </a:extLst>
        </xdr:cNvPr>
        <xdr:cNvSpPr/>
      </xdr:nvSpPr>
      <xdr:spPr>
        <a:xfrm>
          <a:off x="342900" y="30580013"/>
          <a:ext cx="14020800" cy="2286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Agua</a:t>
          </a:r>
        </a:p>
      </xdr:txBody>
    </xdr:sp>
    <xdr:clientData/>
  </xdr:twoCellAnchor>
  <xdr:twoCellAnchor editAs="oneCell">
    <xdr:from>
      <xdr:col>4</xdr:col>
      <xdr:colOff>142875</xdr:colOff>
      <xdr:row>184</xdr:row>
      <xdr:rowOff>28575</xdr:rowOff>
    </xdr:from>
    <xdr:to>
      <xdr:col>4</xdr:col>
      <xdr:colOff>614362</xdr:colOff>
      <xdr:row>186</xdr:row>
      <xdr:rowOff>157162</xdr:rowOff>
    </xdr:to>
    <xdr:pic>
      <xdr:nvPicPr>
        <xdr:cNvPr id="42" name="Gráfico 41" descr="Agua">
          <a:extLst>
            <a:ext uri="{FF2B5EF4-FFF2-40B4-BE49-F238E27FC236}">
              <a16:creationId xmlns:a16="http://schemas.microsoft.com/office/drawing/2014/main" xmlns="" id="{00000000-0008-0000-0200-00002A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xmlns="" val="0"/>
            </a:ext>
            <a:ext uri="{96DAC541-7B7A-43D3-8B79-37D633B846F1}">
              <asvg:svgBlip xmlns:asvg="http://schemas.microsoft.com/office/drawing/2016/SVG/main" xmlns="" r:embed="rId28"/>
            </a:ext>
          </a:extLst>
        </a:blip>
        <a:stretch>
          <a:fillRect/>
        </a:stretch>
      </xdr:blipFill>
      <xdr:spPr>
        <a:xfrm>
          <a:off x="7091363" y="31637288"/>
          <a:ext cx="471487" cy="471487"/>
        </a:xfrm>
        <a:prstGeom prst="rect">
          <a:avLst/>
        </a:prstGeom>
      </xdr:spPr>
    </xdr:pic>
    <xdr:clientData/>
  </xdr:twoCellAnchor>
  <xdr:twoCellAnchor>
    <xdr:from>
      <xdr:col>1</xdr:col>
      <xdr:colOff>3057525</xdr:colOff>
      <xdr:row>214</xdr:row>
      <xdr:rowOff>9525</xdr:rowOff>
    </xdr:from>
    <xdr:to>
      <xdr:col>3</xdr:col>
      <xdr:colOff>653521</xdr:colOff>
      <xdr:row>217</xdr:row>
      <xdr:rowOff>112183</xdr:rowOff>
    </xdr:to>
    <xdr:grpSp>
      <xdr:nvGrpSpPr>
        <xdr:cNvPr id="33" name="Grupo 32">
          <a:extLst>
            <a:ext uri="{FF2B5EF4-FFF2-40B4-BE49-F238E27FC236}">
              <a16:creationId xmlns:a16="http://schemas.microsoft.com/office/drawing/2014/main" xmlns="" id="{82B47F41-9F31-46C4-BBD7-3B7887447518}"/>
            </a:ext>
          </a:extLst>
        </xdr:cNvPr>
        <xdr:cNvGrpSpPr/>
      </xdr:nvGrpSpPr>
      <xdr:grpSpPr>
        <a:xfrm>
          <a:off x="3425825" y="39900225"/>
          <a:ext cx="3120496" cy="636058"/>
          <a:chOff x="3400425" y="38538150"/>
          <a:chExt cx="2772834" cy="617008"/>
        </a:xfrm>
      </xdr:grpSpPr>
      <xdr:sp macro="[0]!iraResultados" textlink="">
        <xdr:nvSpPr>
          <xdr:cNvPr id="43" name="Rectángulo 42">
            <a:extLst>
              <a:ext uri="{FF2B5EF4-FFF2-40B4-BE49-F238E27FC236}">
                <a16:creationId xmlns:a16="http://schemas.microsoft.com/office/drawing/2014/main" xmlns="" id="{B29716A4-9F48-486E-A03A-EBB02B54EE23}"/>
              </a:ext>
            </a:extLst>
          </xdr:cNvPr>
          <xdr:cNvSpPr/>
        </xdr:nvSpPr>
        <xdr:spPr>
          <a:xfrm>
            <a:off x="3400425" y="38538150"/>
            <a:ext cx="2772834" cy="61700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s-ES_tradnl" sz="1200" b="1" i="0">
                <a:solidFill>
                  <a:schemeClr val="lt1"/>
                </a:solidFill>
                <a:effectLst/>
                <a:latin typeface="Arial" panose="020B0604020202020204" pitchFamily="34" charset="0"/>
                <a:ea typeface="+mn-ea"/>
                <a:cs typeface="Arial" panose="020B0604020202020204" pitchFamily="34" charset="0"/>
              </a:rPr>
              <a:t>¡Ver los resultados</a:t>
            </a:r>
            <a:r>
              <a:rPr lang="es-ES_tradnl" sz="1200" b="1" i="0" baseline="0">
                <a:solidFill>
                  <a:schemeClr val="lt1"/>
                </a:solidFill>
                <a:effectLst/>
                <a:latin typeface="Arial" panose="020B0604020202020204" pitchFamily="34" charset="0"/>
                <a:ea typeface="+mn-ea"/>
                <a:cs typeface="Arial" panose="020B0604020202020204" pitchFamily="34" charset="0"/>
              </a:rPr>
              <a:t>!</a:t>
            </a:r>
            <a:endParaRPr lang="es-ES" sz="1400" b="1" i="0">
              <a:solidFill>
                <a:schemeClr val="lt1"/>
              </a:solidFill>
              <a:effectLst/>
              <a:latin typeface="Arial" panose="020B0604020202020204" pitchFamily="34" charset="0"/>
              <a:ea typeface="+mn-ea"/>
              <a:cs typeface="Arial" panose="020B0604020202020204" pitchFamily="34" charset="0"/>
            </a:endParaRPr>
          </a:p>
        </xdr:txBody>
      </xdr:sp>
      <xdr:pic>
        <xdr:nvPicPr>
          <xdr:cNvPr id="19" name="Imagen 18">
            <a:extLst>
              <a:ext uri="{FF2B5EF4-FFF2-40B4-BE49-F238E27FC236}">
                <a16:creationId xmlns:a16="http://schemas.microsoft.com/office/drawing/2014/main" xmlns="" id="{00D5F2BA-3E4B-48BD-AC63-4F8A38F06D77}"/>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xmlns="" val="0"/>
              </a:ext>
            </a:extLst>
          </a:blip>
          <a:stretch>
            <a:fillRect/>
          </a:stretch>
        </xdr:blipFill>
        <xdr:spPr>
          <a:xfrm>
            <a:off x="5117968" y="38595300"/>
            <a:ext cx="873652" cy="49529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24605</xdr:rowOff>
    </xdr:from>
    <xdr:to>
      <xdr:col>8</xdr:col>
      <xdr:colOff>30957</xdr:colOff>
      <xdr:row>7</xdr:row>
      <xdr:rowOff>155574</xdr:rowOff>
    </xdr:to>
    <xdr:sp macro="" textlink="">
      <xdr:nvSpPr>
        <xdr:cNvPr id="2" name="Rectángulo: esquinas redondeadas 1">
          <a:extLst>
            <a:ext uri="{FF2B5EF4-FFF2-40B4-BE49-F238E27FC236}">
              <a16:creationId xmlns:a16="http://schemas.microsoft.com/office/drawing/2014/main" xmlns="" id="{00000000-0008-0000-0300-000002000000}"/>
            </a:ext>
          </a:extLst>
        </xdr:cNvPr>
        <xdr:cNvSpPr/>
      </xdr:nvSpPr>
      <xdr:spPr>
        <a:xfrm>
          <a:off x="0" y="24605"/>
          <a:ext cx="8438357" cy="13755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t>  </a:t>
          </a:r>
        </a:p>
        <a:p>
          <a:pPr algn="l"/>
          <a:r>
            <a:rPr lang="en-US" sz="2800" b="1"/>
            <a:t>RESULTADOS</a:t>
          </a:r>
        </a:p>
      </xdr:txBody>
    </xdr:sp>
    <xdr:clientData/>
  </xdr:twoCellAnchor>
  <xdr:twoCellAnchor editAs="oneCell">
    <xdr:from>
      <xdr:col>4</xdr:col>
      <xdr:colOff>757239</xdr:colOff>
      <xdr:row>0</xdr:row>
      <xdr:rowOff>9526</xdr:rowOff>
    </xdr:from>
    <xdr:to>
      <xdr:col>7</xdr:col>
      <xdr:colOff>152400</xdr:colOff>
      <xdr:row>11</xdr:row>
      <xdr:rowOff>79850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237039" y="9526"/>
          <a:ext cx="2392361" cy="2051524"/>
        </a:xfrm>
        <a:prstGeom prst="rect">
          <a:avLst/>
        </a:prstGeom>
      </xdr:spPr>
    </xdr:pic>
    <xdr:clientData/>
  </xdr:twoCellAnchor>
  <xdr:twoCellAnchor>
    <xdr:from>
      <xdr:col>0</xdr:col>
      <xdr:colOff>0</xdr:colOff>
      <xdr:row>40</xdr:row>
      <xdr:rowOff>19050</xdr:rowOff>
    </xdr:from>
    <xdr:to>
      <xdr:col>7</xdr:col>
      <xdr:colOff>120650</xdr:colOff>
      <xdr:row>42</xdr:row>
      <xdr:rowOff>180975</xdr:rowOff>
    </xdr:to>
    <xdr:sp macro="" textlink="">
      <xdr:nvSpPr>
        <xdr:cNvPr id="4" name="Rectángulo: esquinas redondeadas 3">
          <a:extLst>
            <a:ext uri="{FF2B5EF4-FFF2-40B4-BE49-F238E27FC236}">
              <a16:creationId xmlns:a16="http://schemas.microsoft.com/office/drawing/2014/main" xmlns="" id="{00000000-0008-0000-0300-000004000000}"/>
            </a:ext>
          </a:extLst>
        </xdr:cNvPr>
        <xdr:cNvSpPr/>
      </xdr:nvSpPr>
      <xdr:spPr>
        <a:xfrm>
          <a:off x="0" y="4591050"/>
          <a:ext cx="55308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latin typeface="Arial" panose="020B0604020202020204" pitchFamily="34" charset="0"/>
              <a:cs typeface="Arial" panose="020B0604020202020204" pitchFamily="34" charset="0"/>
            </a:rPr>
            <a:t>Fase de Preproducción</a:t>
          </a:r>
        </a:p>
      </xdr:txBody>
    </xdr:sp>
    <xdr:clientData/>
  </xdr:twoCellAnchor>
  <xdr:twoCellAnchor editAs="oneCell">
    <xdr:from>
      <xdr:col>1</xdr:col>
      <xdr:colOff>0</xdr:colOff>
      <xdr:row>45</xdr:row>
      <xdr:rowOff>0</xdr:rowOff>
    </xdr:from>
    <xdr:to>
      <xdr:col>1</xdr:col>
      <xdr:colOff>552450</xdr:colOff>
      <xdr:row>48</xdr:row>
      <xdr:rowOff>19050</xdr:rowOff>
    </xdr:to>
    <xdr:pic>
      <xdr:nvPicPr>
        <xdr:cNvPr id="5" name="Gráfico 4" descr="Coche">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561975" y="5524500"/>
          <a:ext cx="552450" cy="552450"/>
        </a:xfrm>
        <a:prstGeom prst="rect">
          <a:avLst/>
        </a:prstGeom>
      </xdr:spPr>
    </xdr:pic>
    <xdr:clientData/>
  </xdr:twoCellAnchor>
  <xdr:twoCellAnchor editAs="oneCell">
    <xdr:from>
      <xdr:col>1</xdr:col>
      <xdr:colOff>593815</xdr:colOff>
      <xdr:row>49</xdr:row>
      <xdr:rowOff>37489</xdr:rowOff>
    </xdr:from>
    <xdr:to>
      <xdr:col>1</xdr:col>
      <xdr:colOff>997940</xdr:colOff>
      <xdr:row>51</xdr:row>
      <xdr:rowOff>84548</xdr:rowOff>
    </xdr:to>
    <xdr:pic>
      <xdr:nvPicPr>
        <xdr:cNvPr id="6" name="Gráfico 5" descr="Tren">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 uri="{96DAC541-7B7A-43D3-8B79-37D633B846F1}">
              <asvg:svgBlip xmlns:asvg="http://schemas.microsoft.com/office/drawing/2016/SVG/main" xmlns="" r:embed="rId5"/>
            </a:ext>
          </a:extLst>
        </a:blip>
        <a:stretch>
          <a:fillRect/>
        </a:stretch>
      </xdr:blipFill>
      <xdr:spPr>
        <a:xfrm>
          <a:off x="1155790" y="6323989"/>
          <a:ext cx="404125" cy="409009"/>
        </a:xfrm>
        <a:prstGeom prst="rect">
          <a:avLst/>
        </a:prstGeom>
      </xdr:spPr>
    </xdr:pic>
    <xdr:clientData/>
  </xdr:twoCellAnchor>
  <xdr:twoCellAnchor editAs="oneCell">
    <xdr:from>
      <xdr:col>1</xdr:col>
      <xdr:colOff>0</xdr:colOff>
      <xdr:row>49</xdr:row>
      <xdr:rowOff>37921</xdr:rowOff>
    </xdr:from>
    <xdr:to>
      <xdr:col>1</xdr:col>
      <xdr:colOff>428804</xdr:colOff>
      <xdr:row>51</xdr:row>
      <xdr:rowOff>104775</xdr:rowOff>
    </xdr:to>
    <xdr:pic>
      <xdr:nvPicPr>
        <xdr:cNvPr id="7" name="Gráfico 6" descr="Avión">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 uri="{96DAC541-7B7A-43D3-8B79-37D633B846F1}">
              <asvg:svgBlip xmlns:asvg="http://schemas.microsoft.com/office/drawing/2016/SVG/main" xmlns="" r:embed="rId7"/>
            </a:ext>
          </a:extLst>
        </a:blip>
        <a:stretch>
          <a:fillRect/>
        </a:stretch>
      </xdr:blipFill>
      <xdr:spPr>
        <a:xfrm>
          <a:off x="561975" y="6324421"/>
          <a:ext cx="428804" cy="428804"/>
        </a:xfrm>
        <a:prstGeom prst="rect">
          <a:avLst/>
        </a:prstGeom>
      </xdr:spPr>
    </xdr:pic>
    <xdr:clientData/>
  </xdr:twoCellAnchor>
  <xdr:twoCellAnchor editAs="oneCell">
    <xdr:from>
      <xdr:col>2</xdr:col>
      <xdr:colOff>192288</xdr:colOff>
      <xdr:row>49</xdr:row>
      <xdr:rowOff>0</xdr:rowOff>
    </xdr:from>
    <xdr:to>
      <xdr:col>2</xdr:col>
      <xdr:colOff>668538</xdr:colOff>
      <xdr:row>51</xdr:row>
      <xdr:rowOff>114300</xdr:rowOff>
    </xdr:to>
    <xdr:pic>
      <xdr:nvPicPr>
        <xdr:cNvPr id="8" name="Gráfico 7" descr="Autobús">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 uri="{96DAC541-7B7A-43D3-8B79-37D633B846F1}">
              <asvg:svgBlip xmlns:asvg="http://schemas.microsoft.com/office/drawing/2016/SVG/main" xmlns="" r:embed="rId9"/>
            </a:ext>
          </a:extLst>
        </a:blip>
        <a:stretch>
          <a:fillRect/>
        </a:stretch>
      </xdr:blipFill>
      <xdr:spPr>
        <a:xfrm>
          <a:off x="1792488" y="6286500"/>
          <a:ext cx="476250" cy="476250"/>
        </a:xfrm>
        <a:prstGeom prst="rect">
          <a:avLst/>
        </a:prstGeom>
      </xdr:spPr>
    </xdr:pic>
    <xdr:clientData/>
  </xdr:twoCellAnchor>
  <xdr:twoCellAnchor editAs="oneCell">
    <xdr:from>
      <xdr:col>1</xdr:col>
      <xdr:colOff>0</xdr:colOff>
      <xdr:row>53</xdr:row>
      <xdr:rowOff>0</xdr:rowOff>
    </xdr:from>
    <xdr:to>
      <xdr:col>1</xdr:col>
      <xdr:colOff>571500</xdr:colOff>
      <xdr:row>56</xdr:row>
      <xdr:rowOff>28575</xdr:rowOff>
    </xdr:to>
    <xdr:pic>
      <xdr:nvPicPr>
        <xdr:cNvPr id="9" name="Gráfico 8" descr="Dormir">
          <a:extLst>
            <a:ext uri="{FF2B5EF4-FFF2-40B4-BE49-F238E27FC236}">
              <a16:creationId xmlns:a16="http://schemas.microsoft.com/office/drawing/2014/main" xmlns="" id="{00000000-0008-0000-0300-00000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 uri="{96DAC541-7B7A-43D3-8B79-37D633B846F1}">
              <asvg:svgBlip xmlns:asvg="http://schemas.microsoft.com/office/drawing/2016/SVG/main" xmlns="" r:embed="rId11"/>
            </a:ext>
          </a:extLst>
        </a:blip>
        <a:stretch>
          <a:fillRect/>
        </a:stretch>
      </xdr:blipFill>
      <xdr:spPr>
        <a:xfrm>
          <a:off x="561975" y="7048500"/>
          <a:ext cx="571500" cy="571500"/>
        </a:xfrm>
        <a:prstGeom prst="rect">
          <a:avLst/>
        </a:prstGeom>
      </xdr:spPr>
    </xdr:pic>
    <xdr:clientData/>
  </xdr:twoCellAnchor>
  <xdr:twoCellAnchor>
    <xdr:from>
      <xdr:col>0</xdr:col>
      <xdr:colOff>0</xdr:colOff>
      <xdr:row>57</xdr:row>
      <xdr:rowOff>19050</xdr:rowOff>
    </xdr:from>
    <xdr:to>
      <xdr:col>7</xdr:col>
      <xdr:colOff>120650</xdr:colOff>
      <xdr:row>59</xdr:row>
      <xdr:rowOff>180975</xdr:rowOff>
    </xdr:to>
    <xdr:sp macro="" textlink="">
      <xdr:nvSpPr>
        <xdr:cNvPr id="10" name="Rectángulo: esquinas redondeadas 9">
          <a:extLst>
            <a:ext uri="{FF2B5EF4-FFF2-40B4-BE49-F238E27FC236}">
              <a16:creationId xmlns:a16="http://schemas.microsoft.com/office/drawing/2014/main" xmlns="" id="{00000000-0008-0000-0300-00000A000000}"/>
            </a:ext>
          </a:extLst>
        </xdr:cNvPr>
        <xdr:cNvSpPr/>
      </xdr:nvSpPr>
      <xdr:spPr>
        <a:xfrm>
          <a:off x="0" y="7829550"/>
          <a:ext cx="5530850" cy="54292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ctr"/>
          <a:r>
            <a:rPr lang="en-US" sz="1600" b="1">
              <a:latin typeface="Arial" panose="020B0604020202020204" pitchFamily="34" charset="0"/>
              <a:cs typeface="Arial" panose="020B0604020202020204" pitchFamily="34" charset="0"/>
            </a:rPr>
            <a:t>Fase de Producción</a:t>
          </a:r>
        </a:p>
      </xdr:txBody>
    </xdr:sp>
    <xdr:clientData/>
  </xdr:twoCellAnchor>
  <xdr:twoCellAnchor editAs="oneCell">
    <xdr:from>
      <xdr:col>1</xdr:col>
      <xdr:colOff>0</xdr:colOff>
      <xdr:row>62</xdr:row>
      <xdr:rowOff>0</xdr:rowOff>
    </xdr:from>
    <xdr:to>
      <xdr:col>1</xdr:col>
      <xdr:colOff>552450</xdr:colOff>
      <xdr:row>65</xdr:row>
      <xdr:rowOff>19050</xdr:rowOff>
    </xdr:to>
    <xdr:pic>
      <xdr:nvPicPr>
        <xdr:cNvPr id="11" name="Gráfico 10" descr="Coche">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561975" y="8763000"/>
          <a:ext cx="552450" cy="552450"/>
        </a:xfrm>
        <a:prstGeom prst="rect">
          <a:avLst/>
        </a:prstGeom>
      </xdr:spPr>
    </xdr:pic>
    <xdr:clientData/>
  </xdr:twoCellAnchor>
  <xdr:twoCellAnchor editAs="oneCell">
    <xdr:from>
      <xdr:col>1</xdr:col>
      <xdr:colOff>593815</xdr:colOff>
      <xdr:row>66</xdr:row>
      <xdr:rowOff>37489</xdr:rowOff>
    </xdr:from>
    <xdr:to>
      <xdr:col>1</xdr:col>
      <xdr:colOff>997940</xdr:colOff>
      <xdr:row>68</xdr:row>
      <xdr:rowOff>84548</xdr:rowOff>
    </xdr:to>
    <xdr:pic>
      <xdr:nvPicPr>
        <xdr:cNvPr id="12" name="Gráfico 11" descr="Tren">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 uri="{96DAC541-7B7A-43D3-8B79-37D633B846F1}">
              <asvg:svgBlip xmlns:asvg="http://schemas.microsoft.com/office/drawing/2016/SVG/main" xmlns="" r:embed="rId5"/>
            </a:ext>
          </a:extLst>
        </a:blip>
        <a:stretch>
          <a:fillRect/>
        </a:stretch>
      </xdr:blipFill>
      <xdr:spPr>
        <a:xfrm>
          <a:off x="1155790" y="9562489"/>
          <a:ext cx="404125" cy="409009"/>
        </a:xfrm>
        <a:prstGeom prst="rect">
          <a:avLst/>
        </a:prstGeom>
      </xdr:spPr>
    </xdr:pic>
    <xdr:clientData/>
  </xdr:twoCellAnchor>
  <xdr:twoCellAnchor editAs="oneCell">
    <xdr:from>
      <xdr:col>1</xdr:col>
      <xdr:colOff>0</xdr:colOff>
      <xdr:row>66</xdr:row>
      <xdr:rowOff>37921</xdr:rowOff>
    </xdr:from>
    <xdr:to>
      <xdr:col>1</xdr:col>
      <xdr:colOff>428804</xdr:colOff>
      <xdr:row>68</xdr:row>
      <xdr:rowOff>104775</xdr:rowOff>
    </xdr:to>
    <xdr:pic>
      <xdr:nvPicPr>
        <xdr:cNvPr id="13" name="Gráfico 12" descr="Avión">
          <a:extLst>
            <a:ext uri="{FF2B5EF4-FFF2-40B4-BE49-F238E27FC236}">
              <a16:creationId xmlns:a16="http://schemas.microsoft.com/office/drawing/2014/main" xmlns="" id="{00000000-0008-0000-0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 uri="{96DAC541-7B7A-43D3-8B79-37D633B846F1}">
              <asvg:svgBlip xmlns:asvg="http://schemas.microsoft.com/office/drawing/2016/SVG/main" xmlns="" r:embed="rId7"/>
            </a:ext>
          </a:extLst>
        </a:blip>
        <a:stretch>
          <a:fillRect/>
        </a:stretch>
      </xdr:blipFill>
      <xdr:spPr>
        <a:xfrm>
          <a:off x="561975" y="9562921"/>
          <a:ext cx="428804" cy="428804"/>
        </a:xfrm>
        <a:prstGeom prst="rect">
          <a:avLst/>
        </a:prstGeom>
      </xdr:spPr>
    </xdr:pic>
    <xdr:clientData/>
  </xdr:twoCellAnchor>
  <xdr:twoCellAnchor editAs="oneCell">
    <xdr:from>
      <xdr:col>2</xdr:col>
      <xdr:colOff>192288</xdr:colOff>
      <xdr:row>66</xdr:row>
      <xdr:rowOff>0</xdr:rowOff>
    </xdr:from>
    <xdr:to>
      <xdr:col>2</xdr:col>
      <xdr:colOff>668538</xdr:colOff>
      <xdr:row>68</xdr:row>
      <xdr:rowOff>114300</xdr:rowOff>
    </xdr:to>
    <xdr:pic>
      <xdr:nvPicPr>
        <xdr:cNvPr id="14" name="Gráfico 13" descr="Autobús">
          <a:extLst>
            <a:ext uri="{FF2B5EF4-FFF2-40B4-BE49-F238E27FC236}">
              <a16:creationId xmlns:a16="http://schemas.microsoft.com/office/drawing/2014/main" xmlns="" id="{00000000-0008-0000-03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 uri="{96DAC541-7B7A-43D3-8B79-37D633B846F1}">
              <asvg:svgBlip xmlns:asvg="http://schemas.microsoft.com/office/drawing/2016/SVG/main" xmlns="" r:embed="rId9"/>
            </a:ext>
          </a:extLst>
        </a:blip>
        <a:stretch>
          <a:fillRect/>
        </a:stretch>
      </xdr:blipFill>
      <xdr:spPr>
        <a:xfrm>
          <a:off x="1792488" y="9525000"/>
          <a:ext cx="476250" cy="476250"/>
        </a:xfrm>
        <a:prstGeom prst="rect">
          <a:avLst/>
        </a:prstGeom>
      </xdr:spPr>
    </xdr:pic>
    <xdr:clientData/>
  </xdr:twoCellAnchor>
  <xdr:twoCellAnchor editAs="oneCell">
    <xdr:from>
      <xdr:col>1</xdr:col>
      <xdr:colOff>52425</xdr:colOff>
      <xdr:row>75</xdr:row>
      <xdr:rowOff>123825</xdr:rowOff>
    </xdr:from>
    <xdr:to>
      <xdr:col>1</xdr:col>
      <xdr:colOff>476250</xdr:colOff>
      <xdr:row>78</xdr:row>
      <xdr:rowOff>14250</xdr:rowOff>
    </xdr:to>
    <xdr:pic>
      <xdr:nvPicPr>
        <xdr:cNvPr id="15" name="Gráfico 14" descr="Cuchillo y tenedor">
          <a:extLst>
            <a:ext uri="{FF2B5EF4-FFF2-40B4-BE49-F238E27FC236}">
              <a16:creationId xmlns:a16="http://schemas.microsoft.com/office/drawing/2014/main" xmlns="" id="{00000000-0008-0000-0300-00000F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xmlns="" val="0"/>
            </a:ext>
            <a:ext uri="{96DAC541-7B7A-43D3-8B79-37D633B846F1}">
              <asvg:svgBlip xmlns:asvg="http://schemas.microsoft.com/office/drawing/2016/SVG/main" xmlns="" r:embed="rId13"/>
            </a:ext>
          </a:extLst>
        </a:blip>
        <a:stretch>
          <a:fillRect/>
        </a:stretch>
      </xdr:blipFill>
      <xdr:spPr>
        <a:xfrm>
          <a:off x="614400" y="14077950"/>
          <a:ext cx="423825" cy="423825"/>
        </a:xfrm>
        <a:prstGeom prst="rect">
          <a:avLst/>
        </a:prstGeom>
      </xdr:spPr>
    </xdr:pic>
    <xdr:clientData/>
  </xdr:twoCellAnchor>
  <xdr:twoCellAnchor editAs="oneCell">
    <xdr:from>
      <xdr:col>1</xdr:col>
      <xdr:colOff>120830</xdr:colOff>
      <xdr:row>95</xdr:row>
      <xdr:rowOff>1</xdr:rowOff>
    </xdr:from>
    <xdr:to>
      <xdr:col>1</xdr:col>
      <xdr:colOff>588694</xdr:colOff>
      <xdr:row>95</xdr:row>
      <xdr:rowOff>467865</xdr:rowOff>
    </xdr:to>
    <xdr:pic>
      <xdr:nvPicPr>
        <xdr:cNvPr id="16" name="Gráfico 15" descr="Reciclaje">
          <a:extLst>
            <a:ext uri="{FF2B5EF4-FFF2-40B4-BE49-F238E27FC236}">
              <a16:creationId xmlns:a16="http://schemas.microsoft.com/office/drawing/2014/main" xmlns="" id="{00000000-0008-0000-0300-00001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xmlns="" val="0"/>
            </a:ext>
            <a:ext uri="{96DAC541-7B7A-43D3-8B79-37D633B846F1}">
              <asvg:svgBlip xmlns:asvg="http://schemas.microsoft.com/office/drawing/2016/SVG/main" xmlns="" r:embed="rId15"/>
            </a:ext>
          </a:extLst>
        </a:blip>
        <a:stretch>
          <a:fillRect/>
        </a:stretch>
      </xdr:blipFill>
      <xdr:spPr>
        <a:xfrm rot="10800000" flipV="1">
          <a:off x="682805" y="17764126"/>
          <a:ext cx="467864" cy="467864"/>
        </a:xfrm>
        <a:prstGeom prst="rect">
          <a:avLst/>
        </a:prstGeom>
      </xdr:spPr>
    </xdr:pic>
    <xdr:clientData/>
  </xdr:twoCellAnchor>
  <xdr:twoCellAnchor editAs="oneCell">
    <xdr:from>
      <xdr:col>1</xdr:col>
      <xdr:colOff>57150</xdr:colOff>
      <xdr:row>79</xdr:row>
      <xdr:rowOff>87854</xdr:rowOff>
    </xdr:from>
    <xdr:to>
      <xdr:col>1</xdr:col>
      <xdr:colOff>525014</xdr:colOff>
      <xdr:row>82</xdr:row>
      <xdr:rowOff>22318</xdr:rowOff>
    </xdr:to>
    <xdr:pic>
      <xdr:nvPicPr>
        <xdr:cNvPr id="17" name="Gráfico 16" descr="Engranajes">
          <a:extLst>
            <a:ext uri="{FF2B5EF4-FFF2-40B4-BE49-F238E27FC236}">
              <a16:creationId xmlns:a16="http://schemas.microsoft.com/office/drawing/2014/main" xmlns="" id="{00000000-0008-0000-03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xmlns="" val="0"/>
            </a:ext>
            <a:ext uri="{96DAC541-7B7A-43D3-8B79-37D633B846F1}">
              <asvg:svgBlip xmlns:asvg="http://schemas.microsoft.com/office/drawing/2016/SVG/main" xmlns="" r:embed="rId17"/>
            </a:ext>
          </a:extLst>
        </a:blip>
        <a:stretch>
          <a:fillRect/>
        </a:stretch>
      </xdr:blipFill>
      <xdr:spPr>
        <a:xfrm flipV="1">
          <a:off x="619125" y="14803979"/>
          <a:ext cx="467864" cy="467864"/>
        </a:xfrm>
        <a:prstGeom prst="rect">
          <a:avLst/>
        </a:prstGeom>
      </xdr:spPr>
    </xdr:pic>
    <xdr:clientData/>
  </xdr:twoCellAnchor>
  <xdr:twoCellAnchor editAs="oneCell">
    <xdr:from>
      <xdr:col>1</xdr:col>
      <xdr:colOff>110168</xdr:colOff>
      <xdr:row>82</xdr:row>
      <xdr:rowOff>152401</xdr:rowOff>
    </xdr:from>
    <xdr:to>
      <xdr:col>1</xdr:col>
      <xdr:colOff>578032</xdr:colOff>
      <xdr:row>85</xdr:row>
      <xdr:rowOff>77340</xdr:rowOff>
    </xdr:to>
    <xdr:pic>
      <xdr:nvPicPr>
        <xdr:cNvPr id="18" name="Gráfico 17" descr="Indicador">
          <a:extLst>
            <a:ext uri="{FF2B5EF4-FFF2-40B4-BE49-F238E27FC236}">
              <a16:creationId xmlns:a16="http://schemas.microsoft.com/office/drawing/2014/main" xmlns="" id="{00000000-0008-0000-0300-000012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xmlns="" val="0"/>
            </a:ext>
            <a:ext uri="{96DAC541-7B7A-43D3-8B79-37D633B846F1}">
              <asvg:svgBlip xmlns:asvg="http://schemas.microsoft.com/office/drawing/2016/SVG/main" xmlns="" r:embed="rId19"/>
            </a:ext>
          </a:extLst>
        </a:blip>
        <a:stretch>
          <a:fillRect/>
        </a:stretch>
      </xdr:blipFill>
      <xdr:spPr>
        <a:xfrm rot="10800000" flipV="1">
          <a:off x="672143" y="15440026"/>
          <a:ext cx="467864" cy="467864"/>
        </a:xfrm>
        <a:prstGeom prst="rect">
          <a:avLst/>
        </a:prstGeom>
      </xdr:spPr>
    </xdr:pic>
    <xdr:clientData/>
  </xdr:twoCellAnchor>
  <xdr:twoCellAnchor editAs="oneCell">
    <xdr:from>
      <xdr:col>1</xdr:col>
      <xdr:colOff>130213</xdr:colOff>
      <xdr:row>86</xdr:row>
      <xdr:rowOff>82551</xdr:rowOff>
    </xdr:from>
    <xdr:to>
      <xdr:col>1</xdr:col>
      <xdr:colOff>512799</xdr:colOff>
      <xdr:row>88</xdr:row>
      <xdr:rowOff>103187</xdr:rowOff>
    </xdr:to>
    <xdr:pic>
      <xdr:nvPicPr>
        <xdr:cNvPr id="19" name="Gráfico 18" descr="Bombilla">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xmlns="" val="0"/>
            </a:ext>
            <a:ext uri="{96DAC541-7B7A-43D3-8B79-37D633B846F1}">
              <asvg:svgBlip xmlns:asvg="http://schemas.microsoft.com/office/drawing/2016/SVG/main" xmlns="" r:embed="rId21"/>
            </a:ext>
          </a:extLst>
        </a:blip>
        <a:stretch>
          <a:fillRect/>
        </a:stretch>
      </xdr:blipFill>
      <xdr:spPr>
        <a:xfrm>
          <a:off x="692188" y="16132176"/>
          <a:ext cx="382586" cy="382586"/>
        </a:xfrm>
        <a:prstGeom prst="rect">
          <a:avLst/>
        </a:prstGeom>
      </xdr:spPr>
    </xdr:pic>
    <xdr:clientData/>
  </xdr:twoCellAnchor>
  <xdr:twoCellAnchor editAs="oneCell">
    <xdr:from>
      <xdr:col>1</xdr:col>
      <xdr:colOff>117513</xdr:colOff>
      <xdr:row>89</xdr:row>
      <xdr:rowOff>169862</xdr:rowOff>
    </xdr:from>
    <xdr:to>
      <xdr:col>1</xdr:col>
      <xdr:colOff>546138</xdr:colOff>
      <xdr:row>92</xdr:row>
      <xdr:rowOff>55562</xdr:rowOff>
    </xdr:to>
    <xdr:pic>
      <xdr:nvPicPr>
        <xdr:cNvPr id="20" name="Gráfico 19" descr="Bolsa para la compra">
          <a:extLst>
            <a:ext uri="{FF2B5EF4-FFF2-40B4-BE49-F238E27FC236}">
              <a16:creationId xmlns:a16="http://schemas.microsoft.com/office/drawing/2014/main" xmlns="" id="{00000000-0008-0000-0300-000014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xmlns="" val="0"/>
            </a:ext>
            <a:ext uri="{96DAC541-7B7A-43D3-8B79-37D633B846F1}">
              <asvg:svgBlip xmlns:asvg="http://schemas.microsoft.com/office/drawing/2016/SVG/main" xmlns="" r:embed="rId23"/>
            </a:ext>
          </a:extLst>
        </a:blip>
        <a:stretch>
          <a:fillRect/>
        </a:stretch>
      </xdr:blipFill>
      <xdr:spPr>
        <a:xfrm>
          <a:off x="679488" y="16790987"/>
          <a:ext cx="428625" cy="428625"/>
        </a:xfrm>
        <a:prstGeom prst="rect">
          <a:avLst/>
        </a:prstGeom>
      </xdr:spPr>
    </xdr:pic>
    <xdr:clientData/>
  </xdr:twoCellAnchor>
  <xdr:twoCellAnchor>
    <xdr:from>
      <xdr:col>1</xdr:col>
      <xdr:colOff>15874</xdr:colOff>
      <xdr:row>15</xdr:row>
      <xdr:rowOff>9525</xdr:rowOff>
    </xdr:from>
    <xdr:to>
      <xdr:col>7</xdr:col>
      <xdr:colOff>739775</xdr:colOff>
      <xdr:row>28</xdr:row>
      <xdr:rowOff>52389</xdr:rowOff>
    </xdr:to>
    <xdr:graphicFrame macro="">
      <xdr:nvGraphicFramePr>
        <xdr:cNvPr id="23" name="Gráfico 22">
          <a:extLst>
            <a:ext uri="{FF2B5EF4-FFF2-40B4-BE49-F238E27FC236}">
              <a16:creationId xmlns:a16="http://schemas.microsoft.com/office/drawing/2014/main" xmlns="" id="{00000000-0008-0000-03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15875</xdr:colOff>
      <xdr:row>15</xdr:row>
      <xdr:rowOff>0</xdr:rowOff>
    </xdr:from>
    <xdr:to>
      <xdr:col>14</xdr:col>
      <xdr:colOff>742950</xdr:colOff>
      <xdr:row>28</xdr:row>
      <xdr:rowOff>85724</xdr:rowOff>
    </xdr:to>
    <xdr:graphicFrame macro="">
      <xdr:nvGraphicFramePr>
        <xdr:cNvPr id="24" name="Gráfico 23">
          <a:extLst>
            <a:ext uri="{FF2B5EF4-FFF2-40B4-BE49-F238E27FC236}">
              <a16:creationId xmlns:a16="http://schemas.microsoft.com/office/drawing/2014/main" xmlns="" id="{00000000-0008-0000-03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38100</xdr:colOff>
      <xdr:row>70</xdr:row>
      <xdr:rowOff>57150</xdr:rowOff>
    </xdr:from>
    <xdr:to>
      <xdr:col>1</xdr:col>
      <xdr:colOff>609600</xdr:colOff>
      <xdr:row>73</xdr:row>
      <xdr:rowOff>85725</xdr:rowOff>
    </xdr:to>
    <xdr:pic>
      <xdr:nvPicPr>
        <xdr:cNvPr id="25" name="Gráfico 24" descr="Dormir">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 uri="{96DAC541-7B7A-43D3-8B79-37D633B846F1}">
              <asvg:svgBlip xmlns:asvg="http://schemas.microsoft.com/office/drawing/2016/SVG/main" xmlns="" r:embed="rId11"/>
            </a:ext>
          </a:extLst>
        </a:blip>
        <a:stretch>
          <a:fillRect/>
        </a:stretch>
      </xdr:blipFill>
      <xdr:spPr>
        <a:xfrm>
          <a:off x="600075" y="13058775"/>
          <a:ext cx="571500" cy="571500"/>
        </a:xfrm>
        <a:prstGeom prst="rect">
          <a:avLst/>
        </a:prstGeom>
      </xdr:spPr>
    </xdr:pic>
    <xdr:clientData/>
  </xdr:twoCellAnchor>
  <xdr:twoCellAnchor>
    <xdr:from>
      <xdr:col>6</xdr:col>
      <xdr:colOff>457200</xdr:colOff>
      <xdr:row>35</xdr:row>
      <xdr:rowOff>76201</xdr:rowOff>
    </xdr:from>
    <xdr:to>
      <xdr:col>13</xdr:col>
      <xdr:colOff>415925</xdr:colOff>
      <xdr:row>38</xdr:row>
      <xdr:rowOff>171450</xdr:rowOff>
    </xdr:to>
    <xdr:sp macro="" textlink="">
      <xdr:nvSpPr>
        <xdr:cNvPr id="26" name="Rectángulo: esquinas redondeadas 25">
          <a:extLst>
            <a:ext uri="{FF2B5EF4-FFF2-40B4-BE49-F238E27FC236}">
              <a16:creationId xmlns:a16="http://schemas.microsoft.com/office/drawing/2014/main" xmlns="" id="{00000000-0008-0000-0300-00001A000000}"/>
            </a:ext>
          </a:extLst>
        </xdr:cNvPr>
        <xdr:cNvSpPr/>
      </xdr:nvSpPr>
      <xdr:spPr>
        <a:xfrm>
          <a:off x="5181600" y="6362701"/>
          <a:ext cx="5530850" cy="714374"/>
        </a:xfrm>
        <a:prstGeom prst="roundRect">
          <a:avLst/>
        </a:prstGeom>
        <a:solidFill>
          <a:schemeClr val="bg2">
            <a:lumMod val="2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latin typeface="Arial" panose="020B0604020202020204" pitchFamily="34" charset="0"/>
              <a:cs typeface="Arial" panose="020B0604020202020204" pitchFamily="34" charset="0"/>
            </a:rPr>
            <a:t>Un viaje Málaga</a:t>
          </a:r>
          <a:r>
            <a:rPr lang="en-US" sz="1100" baseline="0">
              <a:latin typeface="Arial" panose="020B0604020202020204" pitchFamily="34" charset="0"/>
              <a:cs typeface="Arial" panose="020B0604020202020204" pitchFamily="34" charset="0"/>
            </a:rPr>
            <a:t> Sevilla en un vehículo utilitario diesel: </a:t>
          </a:r>
          <a:r>
            <a:rPr lang="en-US" sz="1100" b="0" i="0" u="none" strike="noStrike">
              <a:solidFill>
                <a:schemeClr val="lt1"/>
              </a:solidFill>
              <a:effectLst/>
              <a:latin typeface="Arial" panose="020B0604020202020204" pitchFamily="34" charset="0"/>
              <a:ea typeface="+mn-ea"/>
              <a:cs typeface="Arial" panose="020B0604020202020204" pitchFamily="34" charset="0"/>
            </a:rPr>
            <a:t>28 kgCO₂eq</a:t>
          </a:r>
        </a:p>
        <a:p>
          <a:pPr rtl="0"/>
          <a:r>
            <a:rPr lang="en-US" sz="1100" b="0" i="0" u="none" strike="noStrike">
              <a:solidFill>
                <a:schemeClr val="lt1"/>
              </a:solidFill>
              <a:effectLst/>
              <a:latin typeface="Arial" panose="020B0604020202020204" pitchFamily="34" charset="0"/>
              <a:ea typeface="+mn-ea"/>
              <a:cs typeface="Arial" panose="020B0604020202020204" pitchFamily="34" charset="0"/>
            </a:rPr>
            <a:t>24 horas de aire acondicionado doméstico:</a:t>
          </a:r>
          <a:r>
            <a:rPr lang="en-US" sz="1100" b="0" i="0" u="none" strike="noStrike" baseline="0">
              <a:solidFill>
                <a:schemeClr val="lt1"/>
              </a:solidFill>
              <a:effectLst/>
              <a:latin typeface="Arial" panose="020B0604020202020204" pitchFamily="34" charset="0"/>
              <a:ea typeface="+mn-ea"/>
              <a:cs typeface="Arial" panose="020B0604020202020204" pitchFamily="34" charset="0"/>
            </a:rPr>
            <a:t> </a:t>
          </a:r>
          <a:r>
            <a:rPr lang="en-US" sz="1100" b="0" i="0" u="none" strike="noStrike">
              <a:solidFill>
                <a:schemeClr val="lt1"/>
              </a:solidFill>
              <a:effectLst/>
              <a:latin typeface="Arial" panose="020B0604020202020204" pitchFamily="34" charset="0"/>
              <a:ea typeface="+mn-ea"/>
              <a:cs typeface="Arial" panose="020B0604020202020204" pitchFamily="34" charset="0"/>
            </a:rPr>
            <a:t>6,89 kgCO₂eq</a:t>
          </a:r>
        </a:p>
        <a:p>
          <a:pPr rtl="0"/>
          <a:r>
            <a:rPr lang="en-US" sz="1100" b="0" i="0" u="none" strike="noStrike">
              <a:solidFill>
                <a:schemeClr val="lt1"/>
              </a:solidFill>
              <a:effectLst/>
              <a:latin typeface="Arial" panose="020B0604020202020204" pitchFamily="34" charset="0"/>
              <a:ea typeface="+mn-ea"/>
              <a:cs typeface="Arial" panose="020B0604020202020204" pitchFamily="34" charset="0"/>
            </a:rPr>
            <a:t>Ordenador durante 1 semana encendido: 17,53 kgCO₂eq</a:t>
          </a:r>
          <a:endParaRPr lang="en-US" sz="1100" b="0">
            <a:latin typeface="Arial" panose="020B0604020202020204" pitchFamily="34" charset="0"/>
            <a:cs typeface="Arial" panose="020B0604020202020204" pitchFamily="34" charset="0"/>
          </a:endParaRPr>
        </a:p>
      </xdr:txBody>
    </xdr:sp>
    <xdr:clientData/>
  </xdr:twoCellAnchor>
  <xdr:twoCellAnchor>
    <xdr:from>
      <xdr:col>0</xdr:col>
      <xdr:colOff>9525</xdr:colOff>
      <xdr:row>102</xdr:row>
      <xdr:rowOff>38101</xdr:rowOff>
    </xdr:from>
    <xdr:to>
      <xdr:col>6</xdr:col>
      <xdr:colOff>815975</xdr:colOff>
      <xdr:row>105</xdr:row>
      <xdr:rowOff>9526</xdr:rowOff>
    </xdr:to>
    <xdr:sp macro="" textlink="">
      <xdr:nvSpPr>
        <xdr:cNvPr id="28" name="Rectángulo: esquinas redondeadas 27">
          <a:extLst>
            <a:ext uri="{FF2B5EF4-FFF2-40B4-BE49-F238E27FC236}">
              <a16:creationId xmlns:a16="http://schemas.microsoft.com/office/drawing/2014/main" xmlns="" id="{00000000-0008-0000-0300-00001C000000}"/>
            </a:ext>
          </a:extLst>
        </xdr:cNvPr>
        <xdr:cNvSpPr/>
      </xdr:nvSpPr>
      <xdr:spPr>
        <a:xfrm>
          <a:off x="9525" y="19164301"/>
          <a:ext cx="5530850" cy="54292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n-US" sz="1600">
              <a:latin typeface="Arial" panose="020B0604020202020204" pitchFamily="34" charset="0"/>
              <a:cs typeface="Arial" panose="020B0604020202020204" pitchFamily="34" charset="0"/>
            </a:rPr>
            <a:t>Fase de Postproducción</a:t>
          </a:r>
        </a:p>
      </xdr:txBody>
    </xdr:sp>
    <xdr:clientData/>
  </xdr:twoCellAnchor>
  <xdr:twoCellAnchor editAs="oneCell">
    <xdr:from>
      <xdr:col>1</xdr:col>
      <xdr:colOff>152400</xdr:colOff>
      <xdr:row>107</xdr:row>
      <xdr:rowOff>66675</xdr:rowOff>
    </xdr:from>
    <xdr:to>
      <xdr:col>1</xdr:col>
      <xdr:colOff>628650</xdr:colOff>
      <xdr:row>110</xdr:row>
      <xdr:rowOff>9525</xdr:rowOff>
    </xdr:to>
    <xdr:pic>
      <xdr:nvPicPr>
        <xdr:cNvPr id="22" name="Gráfico 21" descr="Hoja">
          <a:extLst>
            <a:ext uri="{FF2B5EF4-FFF2-40B4-BE49-F238E27FC236}">
              <a16:creationId xmlns:a16="http://schemas.microsoft.com/office/drawing/2014/main" xmlns="" id="{00000000-0008-0000-0300-000016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xmlns="" val="0"/>
            </a:ext>
            <a:ext uri="{96DAC541-7B7A-43D3-8B79-37D633B846F1}">
              <asvg:svgBlip xmlns:asvg="http://schemas.microsoft.com/office/drawing/2016/SVG/main" xmlns="" r:embed="rId27"/>
            </a:ext>
          </a:extLst>
        </a:blip>
        <a:stretch>
          <a:fillRect/>
        </a:stretch>
      </xdr:blipFill>
      <xdr:spPr>
        <a:xfrm>
          <a:off x="714375" y="20145375"/>
          <a:ext cx="476250" cy="476250"/>
        </a:xfrm>
        <a:prstGeom prst="rect">
          <a:avLst/>
        </a:prstGeom>
      </xdr:spPr>
    </xdr:pic>
    <xdr:clientData/>
  </xdr:twoCellAnchor>
  <xdr:twoCellAnchor editAs="oneCell">
    <xdr:from>
      <xdr:col>6</xdr:col>
      <xdr:colOff>987425</xdr:colOff>
      <xdr:row>31</xdr:row>
      <xdr:rowOff>44450</xdr:rowOff>
    </xdr:from>
    <xdr:to>
      <xdr:col>7</xdr:col>
      <xdr:colOff>615950</xdr:colOff>
      <xdr:row>34</xdr:row>
      <xdr:rowOff>77787</xdr:rowOff>
    </xdr:to>
    <xdr:pic>
      <xdr:nvPicPr>
        <xdr:cNvPr id="27" name="Gráfico 26" descr="Árbol de hoja caduca">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xmlns="" val="0"/>
            </a:ext>
            <a:ext uri="{96DAC541-7B7A-43D3-8B79-37D633B846F1}">
              <asvg:svgBlip xmlns:asvg="http://schemas.microsoft.com/office/drawing/2016/SVG/main" xmlns="" r:embed="rId29"/>
            </a:ext>
          </a:extLst>
        </a:blip>
        <a:stretch>
          <a:fillRect/>
        </a:stretch>
      </xdr:blipFill>
      <xdr:spPr>
        <a:xfrm>
          <a:off x="6321425" y="6610350"/>
          <a:ext cx="771525" cy="631825"/>
        </a:xfrm>
        <a:prstGeom prst="rect">
          <a:avLst/>
        </a:prstGeom>
      </xdr:spPr>
    </xdr:pic>
    <xdr:clientData/>
  </xdr:twoCellAnchor>
  <xdr:twoCellAnchor editAs="oneCell">
    <xdr:from>
      <xdr:col>6</xdr:col>
      <xdr:colOff>673101</xdr:colOff>
      <xdr:row>31</xdr:row>
      <xdr:rowOff>50800</xdr:rowOff>
    </xdr:from>
    <xdr:to>
      <xdr:col>7</xdr:col>
      <xdr:colOff>101600</xdr:colOff>
      <xdr:row>33</xdr:row>
      <xdr:rowOff>65086</xdr:rowOff>
    </xdr:to>
    <xdr:pic>
      <xdr:nvPicPr>
        <xdr:cNvPr id="29" name="Gráfico 28" descr="Árbol de hoja caduca">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xmlns="" val="0"/>
            </a:ext>
            <a:ext uri="{96DAC541-7B7A-43D3-8B79-37D633B846F1}">
              <asvg:svgBlip xmlns:asvg="http://schemas.microsoft.com/office/drawing/2016/SVG/main" xmlns="" r:embed="rId29"/>
            </a:ext>
          </a:extLst>
        </a:blip>
        <a:stretch>
          <a:fillRect/>
        </a:stretch>
      </xdr:blipFill>
      <xdr:spPr>
        <a:xfrm>
          <a:off x="6007101" y="6616700"/>
          <a:ext cx="571499" cy="431799"/>
        </a:xfrm>
        <a:prstGeom prst="rect">
          <a:avLst/>
        </a:prstGeom>
      </xdr:spPr>
    </xdr:pic>
    <xdr:clientData/>
  </xdr:twoCellAnchor>
  <xdr:twoCellAnchor editAs="oneCell">
    <xdr:from>
      <xdr:col>7</xdr:col>
      <xdr:colOff>377826</xdr:colOff>
      <xdr:row>31</xdr:row>
      <xdr:rowOff>50800</xdr:rowOff>
    </xdr:from>
    <xdr:to>
      <xdr:col>7</xdr:col>
      <xdr:colOff>760412</xdr:colOff>
      <xdr:row>32</xdr:row>
      <xdr:rowOff>203199</xdr:rowOff>
    </xdr:to>
    <xdr:pic>
      <xdr:nvPicPr>
        <xdr:cNvPr id="30" name="Gráfico 29" descr="Árbol de hoja caduca">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xmlns="" val="0"/>
            </a:ext>
            <a:ext uri="{96DAC541-7B7A-43D3-8B79-37D633B846F1}">
              <asvg:svgBlip xmlns:asvg="http://schemas.microsoft.com/office/drawing/2016/SVG/main" xmlns="" r:embed="rId29"/>
            </a:ext>
          </a:extLst>
        </a:blip>
        <a:stretch>
          <a:fillRect/>
        </a:stretch>
      </xdr:blipFill>
      <xdr:spPr>
        <a:xfrm>
          <a:off x="6854826" y="6616700"/>
          <a:ext cx="396874" cy="333374"/>
        </a:xfrm>
        <a:prstGeom prst="rect">
          <a:avLst/>
        </a:prstGeom>
      </xdr:spPr>
    </xdr:pic>
    <xdr:clientData/>
  </xdr:twoCellAnchor>
  <xdr:twoCellAnchor editAs="oneCell">
    <xdr:from>
      <xdr:col>1</xdr:col>
      <xdr:colOff>104776</xdr:colOff>
      <xdr:row>97</xdr:row>
      <xdr:rowOff>33337</xdr:rowOff>
    </xdr:from>
    <xdr:to>
      <xdr:col>1</xdr:col>
      <xdr:colOff>576263</xdr:colOff>
      <xdr:row>99</xdr:row>
      <xdr:rowOff>161924</xdr:rowOff>
    </xdr:to>
    <xdr:pic>
      <xdr:nvPicPr>
        <xdr:cNvPr id="32" name="Gráfico 31" descr="Agua">
          <a:extLst>
            <a:ext uri="{FF2B5EF4-FFF2-40B4-BE49-F238E27FC236}">
              <a16:creationId xmlns:a16="http://schemas.microsoft.com/office/drawing/2014/main" xmlns="" id="{00000000-0008-0000-0300-000020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xmlns="" val="0"/>
            </a:ext>
            <a:ext uri="{96DAC541-7B7A-43D3-8B79-37D633B846F1}">
              <asvg:svgBlip xmlns:asvg="http://schemas.microsoft.com/office/drawing/2016/SVG/main" xmlns="" r:embed="rId33"/>
            </a:ext>
          </a:extLst>
        </a:blip>
        <a:stretch>
          <a:fillRect/>
        </a:stretch>
      </xdr:blipFill>
      <xdr:spPr>
        <a:xfrm>
          <a:off x="709614" y="18721387"/>
          <a:ext cx="471487" cy="4714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Hoja1">
    <tabColor theme="9"/>
  </sheetPr>
  <dimension ref="A1:T400"/>
  <sheetViews>
    <sheetView tabSelected="1" zoomScaleNormal="100" zoomScaleSheetLayoutView="100" workbookViewId="0">
      <selection activeCell="M22" sqref="M22"/>
    </sheetView>
  </sheetViews>
  <sheetFormatPr baseColWidth="10" defaultRowHeight="15"/>
  <sheetData>
    <row r="1" spans="1:13" s="4" customFormat="1" ht="16.5">
      <c r="A1" s="3"/>
      <c r="J1" s="3"/>
      <c r="M1" s="3"/>
    </row>
    <row r="2" spans="1:13" s="4" customFormat="1" ht="16.5">
      <c r="A2" s="3"/>
      <c r="E2" s="3"/>
      <c r="J2" s="3"/>
      <c r="M2" s="3"/>
    </row>
    <row r="3" spans="1:13" s="4" customFormat="1" ht="16.5">
      <c r="A3" s="3"/>
      <c r="E3" s="3"/>
      <c r="J3" s="3"/>
      <c r="M3" s="3"/>
    </row>
    <row r="4" spans="1:13" s="4" customFormat="1" ht="16.5">
      <c r="A4" s="3"/>
      <c r="E4" s="3"/>
      <c r="J4" s="3"/>
      <c r="M4" s="3"/>
    </row>
    <row r="5" spans="1:13" s="4" customFormat="1" ht="16.5">
      <c r="A5" s="3"/>
      <c r="E5" s="3"/>
      <c r="I5" s="3"/>
      <c r="J5" s="3"/>
      <c r="M5" s="3"/>
    </row>
    <row r="6" spans="1:13" s="4" customFormat="1" ht="16.5">
      <c r="A6" s="3"/>
      <c r="E6" s="3"/>
      <c r="I6" s="3"/>
      <c r="J6" s="3"/>
      <c r="M6" s="3"/>
    </row>
    <row r="7" spans="1:13" s="4" customFormat="1" ht="16.5">
      <c r="E7" s="3"/>
      <c r="I7" s="3"/>
      <c r="J7" s="3"/>
      <c r="M7" s="3"/>
    </row>
    <row r="8" spans="1:13" s="4" customFormat="1" ht="16.5">
      <c r="I8" s="3"/>
      <c r="J8" s="3"/>
      <c r="M8" s="3"/>
    </row>
    <row r="9" spans="1:13" s="4" customFormat="1" ht="16.5">
      <c r="I9" s="3"/>
      <c r="J9" s="3"/>
      <c r="K9" s="5"/>
      <c r="M9" s="3"/>
    </row>
    <row r="10" spans="1:13" s="4" customFormat="1" ht="16.5">
      <c r="I10" s="3"/>
      <c r="J10" s="3"/>
      <c r="M10" s="3"/>
    </row>
    <row r="11" spans="1:13" s="4" customFormat="1" ht="16.5">
      <c r="J11" s="3"/>
      <c r="M11" s="3"/>
    </row>
    <row r="12" spans="1:13" s="4" customFormat="1" ht="16.5">
      <c r="J12" s="3"/>
      <c r="M12" s="3"/>
    </row>
    <row r="13" spans="1:13" s="4" customFormat="1"/>
    <row r="14" spans="1:13" s="4" customFormat="1"/>
    <row r="15" spans="1:13" s="4" customFormat="1"/>
    <row r="16" spans="1:13" s="4" customFormat="1"/>
    <row r="17" spans="9:9" s="4" customFormat="1"/>
    <row r="18" spans="9:9" s="4" customFormat="1"/>
    <row r="19" spans="9:9" s="4" customFormat="1"/>
    <row r="20" spans="9:9" s="4" customFormat="1"/>
    <row r="21" spans="9:9" s="4" customFormat="1"/>
    <row r="22" spans="9:9" s="4" customFormat="1"/>
    <row r="23" spans="9:9" s="4" customFormat="1"/>
    <row r="24" spans="9:9" s="4" customFormat="1"/>
    <row r="25" spans="9:9" s="4" customFormat="1"/>
    <row r="26" spans="9:9" s="4" customFormat="1">
      <c r="I26" s="6"/>
    </row>
    <row r="27" spans="9:9" s="4" customFormat="1"/>
    <row r="28" spans="9:9" s="4" customFormat="1"/>
    <row r="29" spans="9:9" s="4" customFormat="1"/>
    <row r="30" spans="9:9" s="4" customFormat="1"/>
    <row r="31" spans="9:9" s="4" customFormat="1"/>
    <row r="32" spans="9:9"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pans="20:20" s="4" customFormat="1"/>
    <row r="50" spans="20:20" s="4" customFormat="1"/>
    <row r="51" spans="20:20" s="4" customFormat="1"/>
    <row r="52" spans="20:20" s="4" customFormat="1"/>
    <row r="53" spans="20:20" s="4" customFormat="1"/>
    <row r="54" spans="20:20" s="4" customFormat="1"/>
    <row r="55" spans="20:20" s="4" customFormat="1"/>
    <row r="56" spans="20:20" s="4" customFormat="1"/>
    <row r="57" spans="20:20" s="4" customFormat="1"/>
    <row r="58" spans="20:20" s="4" customFormat="1"/>
    <row r="59" spans="20:20" s="4" customFormat="1"/>
    <row r="60" spans="20:20" s="4" customFormat="1"/>
    <row r="61" spans="20:20" s="4" customFormat="1"/>
    <row r="62" spans="20:20" s="4" customFormat="1">
      <c r="T62"/>
    </row>
    <row r="63" spans="20:20" s="4" customFormat="1"/>
    <row r="64" spans="20:20"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sheetData>
  <sheetProtection algorithmName="SHA-512" hashValue="BkstNupb+s1IaJiQWhNcp4Z1vnBIkRLT9hj7O2C/sYFidin69FdbqAS9FifUogQGlLSRS89/6mSUw8M/1H+1dg==" saltValue="04Oqf5XPQ7L33oreYPul8Q=="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Hoja2">
    <tabColor theme="9"/>
  </sheetPr>
  <dimension ref="A1:S329"/>
  <sheetViews>
    <sheetView zoomScaleNormal="100" workbookViewId="0">
      <selection activeCell="K25" sqref="K25"/>
    </sheetView>
  </sheetViews>
  <sheetFormatPr baseColWidth="10" defaultColWidth="10.7109375" defaultRowHeight="14.25"/>
  <cols>
    <col min="1" max="1" width="31" style="17" customWidth="1"/>
    <col min="2" max="2" width="10.7109375" style="17"/>
    <col min="3" max="3" width="17.140625" style="17" customWidth="1"/>
    <col min="4" max="16384" width="10.7109375" style="17"/>
  </cols>
  <sheetData>
    <row r="1" spans="1:19" s="7" customFormat="1" ht="15">
      <c r="B1" s="8"/>
      <c r="C1" s="8"/>
      <c r="G1" s="8"/>
      <c r="H1" s="8"/>
      <c r="J1" s="8"/>
      <c r="K1" s="8"/>
      <c r="L1" s="8"/>
      <c r="O1" s="8"/>
      <c r="P1" s="9"/>
      <c r="R1" s="8"/>
      <c r="S1" s="8"/>
    </row>
    <row r="2" spans="1:19" s="7" customFormat="1" ht="15">
      <c r="B2" s="8"/>
      <c r="C2" s="8"/>
      <c r="G2" s="8"/>
      <c r="H2" s="8"/>
      <c r="J2" s="8"/>
      <c r="K2" s="8"/>
      <c r="L2" s="8"/>
      <c r="O2" s="8"/>
      <c r="P2" s="10"/>
      <c r="R2" s="8"/>
      <c r="S2" s="8"/>
    </row>
    <row r="3" spans="1:19" s="7" customFormat="1" ht="15">
      <c r="B3" s="8"/>
      <c r="C3" s="8"/>
      <c r="G3" s="8"/>
      <c r="H3" s="8"/>
      <c r="J3" s="8"/>
      <c r="K3" s="8"/>
      <c r="L3" s="8"/>
      <c r="R3" s="8"/>
      <c r="S3" s="8"/>
    </row>
    <row r="4" spans="1:19" s="7" customFormat="1" ht="15">
      <c r="B4" s="8"/>
      <c r="C4" s="8"/>
      <c r="G4" s="8"/>
      <c r="H4" s="8"/>
      <c r="J4" s="8"/>
      <c r="R4" s="8"/>
      <c r="S4" s="11"/>
    </row>
    <row r="5" spans="1:19" s="7" customFormat="1" ht="15">
      <c r="B5" s="8"/>
      <c r="C5" s="8"/>
      <c r="G5" s="8"/>
      <c r="H5" s="8"/>
      <c r="J5" s="8"/>
      <c r="R5" s="8"/>
      <c r="S5" s="8"/>
    </row>
    <row r="6" spans="1:19" s="7" customFormat="1" ht="15">
      <c r="B6" s="8"/>
      <c r="C6" s="8"/>
      <c r="G6" s="8"/>
      <c r="H6" s="8"/>
      <c r="J6" s="8"/>
      <c r="O6" s="8"/>
      <c r="P6" s="9"/>
      <c r="R6" s="8"/>
      <c r="S6" s="8"/>
    </row>
    <row r="7" spans="1:19" s="7" customFormat="1" ht="15">
      <c r="O7" s="8"/>
      <c r="P7" s="10"/>
    </row>
    <row r="8" spans="1:19" s="7" customFormat="1" ht="30.75">
      <c r="A8" s="12" t="s">
        <v>98</v>
      </c>
      <c r="B8" s="13" t="e">
        <f ca="1">'Calculos 1'!C251</f>
        <v>#NAME?</v>
      </c>
      <c r="C8" s="12" t="s">
        <v>1103</v>
      </c>
      <c r="O8" s="8"/>
      <c r="P8" s="10"/>
    </row>
    <row r="9" spans="1:19" s="7" customFormat="1" ht="15">
      <c r="O9" s="8"/>
      <c r="P9" s="10"/>
    </row>
    <row r="10" spans="1:19" s="7" customFormat="1"/>
    <row r="11" spans="1:19" s="7" customFormat="1" ht="27.75">
      <c r="A11" s="14" t="s">
        <v>1101</v>
      </c>
      <c r="B11" s="13"/>
      <c r="C11" s="12"/>
    </row>
    <row r="12" spans="1:19" s="7" customFormat="1"/>
    <row r="13" spans="1:19" s="7" customFormat="1" ht="18.75">
      <c r="A13" s="15" t="e">
        <f ca="1">CONCATENATE("Habria que plantar ",compensacion_hm," árboles y mantenerlos durante 30 años.")</f>
        <v>#NAME?</v>
      </c>
      <c r="O13" s="8"/>
    </row>
    <row r="14" spans="1:19" s="7" customFormat="1"/>
    <row r="15" spans="1:19" s="7" customFormat="1" ht="15">
      <c r="A15" s="16" t="s">
        <v>1102</v>
      </c>
    </row>
    <row r="16" spans="1:19" s="7" customFormat="1"/>
    <row r="17" s="7" customFormat="1"/>
    <row r="18" s="7" customFormat="1"/>
    <row r="19" s="7" customFormat="1"/>
    <row r="20" s="7" customFormat="1"/>
    <row r="21" s="7" customFormat="1"/>
    <row r="22" s="7" customFormat="1"/>
    <row r="23" s="7" customFormat="1"/>
    <row r="24" s="7" customFormat="1"/>
    <row r="25" s="7" customFormat="1"/>
    <row r="26" s="7" customFormat="1"/>
    <row r="27" s="7" customFormat="1"/>
    <row r="28" s="7" customFormat="1"/>
    <row r="29" s="7" customFormat="1"/>
    <row r="30" s="7" customFormat="1"/>
    <row r="31" s="7" customFormat="1"/>
    <row r="32"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sheetData>
  <sheetProtection algorithmName="SHA-512" hashValue="OdYxnxLMXzqGyh9X28q1494KnQlUf+DeqsR6bxSRje62oy8iZjzHKv0aIcnj7TsqAdHiUaWiX3IruI8H3ub4gg==" saltValue="huQWQFEMgY11K7ff+RF+lA=="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Hoja6">
    <tabColor theme="9"/>
  </sheetPr>
  <dimension ref="A1:M252"/>
  <sheetViews>
    <sheetView zoomScaleNormal="100" workbookViewId="0">
      <selection activeCell="B7" sqref="B7"/>
    </sheetView>
  </sheetViews>
  <sheetFormatPr baseColWidth="10" defaultColWidth="10.7109375" defaultRowHeight="14.25"/>
  <cols>
    <col min="1" max="1" width="4.85546875" style="41" customWidth="1"/>
    <col min="2" max="2" width="52.140625" style="41" customWidth="1"/>
    <col min="3" max="3" width="20.28515625" style="41" customWidth="1"/>
    <col min="4" max="4" width="20" style="41" customWidth="1"/>
    <col min="5" max="5" width="18.42578125" style="41" customWidth="1"/>
    <col min="6" max="16384" width="10.7109375" style="41"/>
  </cols>
  <sheetData>
    <row r="1" spans="1:13" s="37" customFormat="1"/>
    <row r="2" spans="1:13" s="37" customFormat="1"/>
    <row r="3" spans="1:13" s="37" customFormat="1"/>
    <row r="4" spans="1:13" s="37" customFormat="1"/>
    <row r="5" spans="1:13" s="37" customFormat="1"/>
    <row r="6" spans="1:13" s="37" customFormat="1" ht="15" customHeight="1">
      <c r="A6" s="37" t="s">
        <v>1002</v>
      </c>
      <c r="B6" s="38" t="s">
        <v>996</v>
      </c>
      <c r="C6" s="135"/>
      <c r="D6" s="136"/>
    </row>
    <row r="7" spans="1:13" s="37" customFormat="1" ht="15">
      <c r="A7" s="37" t="s">
        <v>1003</v>
      </c>
      <c r="B7" s="38" t="s">
        <v>1008</v>
      </c>
      <c r="C7" s="133"/>
      <c r="D7" s="134"/>
    </row>
    <row r="8" spans="1:13" s="37" customFormat="1" ht="15">
      <c r="B8" s="38"/>
    </row>
    <row r="9" spans="1:13" s="37" customFormat="1" ht="15">
      <c r="C9" s="39" t="s">
        <v>1001</v>
      </c>
      <c r="D9" s="39" t="s">
        <v>1000</v>
      </c>
      <c r="E9" s="39" t="s">
        <v>1004</v>
      </c>
    </row>
    <row r="10" spans="1:13" s="37" customFormat="1" ht="15">
      <c r="A10" s="37" t="s">
        <v>1005</v>
      </c>
      <c r="B10" s="38" t="s">
        <v>997</v>
      </c>
      <c r="C10" s="31"/>
      <c r="D10" s="31"/>
      <c r="E10" s="32"/>
    </row>
    <row r="11" spans="1:13" s="37" customFormat="1" ht="15">
      <c r="A11" s="37" t="s">
        <v>1006</v>
      </c>
      <c r="B11" s="38" t="s">
        <v>998</v>
      </c>
      <c r="C11" s="31"/>
      <c r="D11" s="31"/>
      <c r="E11" s="32"/>
    </row>
    <row r="12" spans="1:13" s="37" customFormat="1" ht="15">
      <c r="A12" s="37" t="s">
        <v>1007</v>
      </c>
      <c r="B12" s="38" t="s">
        <v>999</v>
      </c>
      <c r="C12" s="31"/>
      <c r="D12" s="31"/>
      <c r="E12" s="32"/>
    </row>
    <row r="13" spans="1:13" s="37" customFormat="1"/>
    <row r="14" spans="1:13" s="37" customFormat="1"/>
    <row r="15" spans="1:13" s="37" customFormat="1"/>
    <row r="16" spans="1:13">
      <c r="A16" s="40"/>
      <c r="B16" s="40"/>
      <c r="C16" s="40"/>
      <c r="D16" s="40"/>
      <c r="E16" s="40"/>
      <c r="F16" s="40"/>
      <c r="G16" s="40"/>
      <c r="H16" s="40"/>
      <c r="I16" s="40"/>
      <c r="J16" s="40"/>
      <c r="K16" s="40"/>
      <c r="L16" s="40"/>
      <c r="M16" s="40"/>
    </row>
    <row r="17" spans="1:13">
      <c r="A17" s="40"/>
      <c r="B17" s="40"/>
      <c r="C17" s="40"/>
      <c r="D17" s="40"/>
      <c r="E17" s="40"/>
      <c r="F17" s="40"/>
      <c r="G17" s="40"/>
      <c r="H17" s="40"/>
      <c r="I17" s="40"/>
      <c r="J17" s="40"/>
      <c r="K17" s="40"/>
      <c r="L17" s="40"/>
      <c r="M17" s="40"/>
    </row>
    <row r="18" spans="1:13">
      <c r="A18" s="40"/>
      <c r="B18" s="40"/>
      <c r="C18" s="40"/>
      <c r="D18" s="40"/>
      <c r="E18" s="40"/>
      <c r="F18" s="40"/>
      <c r="G18" s="40"/>
      <c r="H18" s="40"/>
      <c r="I18" s="40"/>
      <c r="J18" s="40"/>
      <c r="K18" s="40"/>
      <c r="L18" s="40"/>
      <c r="M18" s="40"/>
    </row>
    <row r="19" spans="1:13">
      <c r="A19" s="40"/>
      <c r="B19" s="40"/>
      <c r="C19" s="40"/>
      <c r="D19" s="40"/>
      <c r="E19" s="40"/>
      <c r="F19" s="40"/>
      <c r="G19" s="40"/>
      <c r="H19" s="40"/>
      <c r="I19" s="40"/>
      <c r="J19" s="40"/>
      <c r="K19" s="40"/>
      <c r="L19" s="40"/>
      <c r="M19" s="40"/>
    </row>
    <row r="20" spans="1:13">
      <c r="A20" s="40"/>
      <c r="B20" s="40"/>
      <c r="C20" s="40"/>
      <c r="D20" s="40"/>
      <c r="E20" s="40"/>
      <c r="F20" s="40"/>
      <c r="G20" s="40"/>
      <c r="H20" s="40"/>
      <c r="I20" s="40"/>
      <c r="J20" s="40"/>
      <c r="K20" s="40"/>
      <c r="L20" s="40"/>
      <c r="M20" s="40"/>
    </row>
    <row r="21" spans="1:13">
      <c r="A21" s="40"/>
      <c r="B21" s="40"/>
      <c r="C21" s="40"/>
      <c r="D21" s="40"/>
      <c r="E21" s="40"/>
      <c r="F21" s="40"/>
      <c r="G21" s="40"/>
      <c r="H21" s="40"/>
      <c r="I21" s="40"/>
      <c r="J21" s="40"/>
      <c r="K21" s="40"/>
      <c r="L21" s="40"/>
      <c r="M21" s="40"/>
    </row>
    <row r="22" spans="1:13" ht="15">
      <c r="A22" s="40"/>
      <c r="B22" s="42" t="s">
        <v>1141</v>
      </c>
      <c r="C22" s="40"/>
      <c r="D22" s="31"/>
      <c r="E22" s="40"/>
      <c r="F22" s="40"/>
      <c r="G22" s="40"/>
      <c r="H22" s="40"/>
      <c r="I22" s="40"/>
      <c r="J22" s="40"/>
      <c r="K22" s="40"/>
      <c r="L22" s="40"/>
      <c r="M22" s="40"/>
    </row>
    <row r="23" spans="1:13" ht="15">
      <c r="A23" s="40"/>
      <c r="B23" s="42" t="s">
        <v>959</v>
      </c>
      <c r="C23" s="40"/>
      <c r="D23" s="31"/>
      <c r="E23" s="40"/>
      <c r="F23" s="40"/>
      <c r="G23" s="40"/>
      <c r="H23" s="40"/>
      <c r="I23" s="40"/>
      <c r="J23" s="40"/>
      <c r="K23" s="40"/>
      <c r="L23" s="40"/>
      <c r="M23" s="40"/>
    </row>
    <row r="24" spans="1:13">
      <c r="A24" s="40"/>
      <c r="B24" s="40"/>
      <c r="C24" s="40"/>
      <c r="D24" s="40"/>
      <c r="E24" s="40"/>
      <c r="F24" s="40"/>
      <c r="G24" s="40"/>
      <c r="H24" s="40"/>
      <c r="I24" s="40"/>
      <c r="J24" s="40"/>
      <c r="K24" s="40"/>
      <c r="L24" s="40"/>
      <c r="M24" s="40"/>
    </row>
    <row r="25" spans="1:13" ht="15">
      <c r="A25" s="40"/>
      <c r="B25" s="42"/>
      <c r="C25" s="42" t="s">
        <v>314</v>
      </c>
      <c r="D25" s="42" t="s">
        <v>315</v>
      </c>
      <c r="E25" s="40"/>
      <c r="F25" s="40"/>
      <c r="G25" s="40"/>
      <c r="H25" s="40"/>
      <c r="I25" s="40"/>
      <c r="J25" s="40"/>
      <c r="K25" s="40"/>
      <c r="L25" s="40"/>
      <c r="M25" s="40"/>
    </row>
    <row r="26" spans="1:13">
      <c r="A26" s="33" t="s">
        <v>425</v>
      </c>
      <c r="B26" s="31" t="s">
        <v>316</v>
      </c>
      <c r="C26" s="31"/>
      <c r="D26" s="31"/>
      <c r="E26" s="40"/>
      <c r="F26" s="40"/>
      <c r="G26" s="40"/>
      <c r="H26" s="40"/>
      <c r="I26" s="40"/>
      <c r="J26" s="40"/>
      <c r="K26" s="40"/>
      <c r="L26" s="40"/>
      <c r="M26" s="40"/>
    </row>
    <row r="27" spans="1:13">
      <c r="A27" s="33" t="s">
        <v>426</v>
      </c>
      <c r="B27" s="31" t="s">
        <v>316</v>
      </c>
      <c r="C27" s="31"/>
      <c r="D27" s="31"/>
      <c r="E27" s="40"/>
      <c r="F27" s="40"/>
      <c r="G27" s="40"/>
      <c r="H27" s="40"/>
      <c r="I27" s="40"/>
      <c r="J27" s="40"/>
      <c r="K27" s="40"/>
      <c r="L27" s="40"/>
      <c r="M27" s="40"/>
    </row>
    <row r="28" spans="1:13">
      <c r="A28" s="33" t="s">
        <v>427</v>
      </c>
      <c r="B28" s="31" t="s">
        <v>316</v>
      </c>
      <c r="C28" s="31"/>
      <c r="D28" s="31"/>
      <c r="E28" s="40"/>
      <c r="F28" s="40"/>
      <c r="G28" s="40"/>
      <c r="H28" s="40"/>
      <c r="I28" s="40"/>
      <c r="J28" s="40"/>
      <c r="K28" s="40"/>
      <c r="L28" s="40"/>
      <c r="M28" s="40"/>
    </row>
    <row r="29" spans="1:13">
      <c r="A29" s="33" t="s">
        <v>451</v>
      </c>
      <c r="B29" s="31" t="s">
        <v>316</v>
      </c>
      <c r="C29" s="31"/>
      <c r="D29" s="31"/>
      <c r="E29" s="40"/>
      <c r="F29" s="40"/>
      <c r="G29" s="40"/>
      <c r="H29" s="40"/>
      <c r="I29" s="40"/>
      <c r="J29" s="40"/>
      <c r="K29" s="40"/>
      <c r="L29" s="40"/>
      <c r="M29" s="40"/>
    </row>
    <row r="30" spans="1:13">
      <c r="A30" s="33" t="s">
        <v>452</v>
      </c>
      <c r="B30" s="31" t="s">
        <v>316</v>
      </c>
      <c r="C30" s="31"/>
      <c r="D30" s="31"/>
      <c r="E30" s="40"/>
      <c r="F30" s="40"/>
      <c r="G30" s="40"/>
      <c r="H30" s="40"/>
      <c r="I30" s="40"/>
      <c r="J30" s="40"/>
      <c r="K30" s="40"/>
      <c r="L30" s="40"/>
      <c r="M30" s="40"/>
    </row>
    <row r="31" spans="1:13">
      <c r="A31" s="33" t="s">
        <v>453</v>
      </c>
      <c r="B31" s="31" t="s">
        <v>316</v>
      </c>
      <c r="C31" s="31"/>
      <c r="D31" s="31"/>
      <c r="E31" s="40"/>
      <c r="F31" s="40"/>
      <c r="G31" s="40"/>
      <c r="H31" s="40"/>
      <c r="I31" s="40"/>
      <c r="J31" s="40"/>
      <c r="K31" s="40"/>
      <c r="L31" s="40"/>
      <c r="M31" s="40"/>
    </row>
    <row r="32" spans="1:13">
      <c r="A32" s="33" t="s">
        <v>454</v>
      </c>
      <c r="B32" s="31" t="s">
        <v>316</v>
      </c>
      <c r="C32" s="31"/>
      <c r="D32" s="31"/>
      <c r="E32" s="40"/>
      <c r="F32" s="40"/>
      <c r="G32" s="40"/>
      <c r="H32" s="40"/>
      <c r="I32" s="40"/>
      <c r="J32" s="40"/>
      <c r="K32" s="40"/>
      <c r="L32" s="40"/>
      <c r="M32" s="40"/>
    </row>
    <row r="33" spans="1:13">
      <c r="A33" s="33" t="s">
        <v>455</v>
      </c>
      <c r="B33" s="31" t="s">
        <v>316</v>
      </c>
      <c r="C33" s="31"/>
      <c r="D33" s="31"/>
      <c r="E33" s="40"/>
      <c r="F33" s="40"/>
      <c r="G33" s="40"/>
      <c r="H33" s="40"/>
      <c r="I33" s="40"/>
      <c r="J33" s="40"/>
      <c r="K33" s="40"/>
      <c r="L33" s="40"/>
      <c r="M33" s="40"/>
    </row>
    <row r="34" spans="1:13">
      <c r="A34" s="33" t="s">
        <v>456</v>
      </c>
      <c r="B34" s="31" t="s">
        <v>316</v>
      </c>
      <c r="C34" s="31"/>
      <c r="D34" s="31"/>
      <c r="E34" s="40"/>
      <c r="F34" s="40"/>
      <c r="G34" s="40"/>
      <c r="H34" s="40"/>
      <c r="I34" s="40"/>
      <c r="J34" s="40"/>
      <c r="K34" s="40"/>
      <c r="L34" s="40"/>
      <c r="M34" s="40"/>
    </row>
    <row r="35" spans="1:13">
      <c r="A35" s="33" t="s">
        <v>457</v>
      </c>
      <c r="B35" s="31" t="s">
        <v>316</v>
      </c>
      <c r="C35" s="31"/>
      <c r="D35" s="31"/>
      <c r="E35" s="40"/>
      <c r="F35" s="40"/>
      <c r="G35" s="40"/>
      <c r="H35" s="40"/>
      <c r="I35" s="40"/>
      <c r="J35" s="40"/>
      <c r="K35" s="40"/>
      <c r="L35" s="40"/>
      <c r="M35" s="40"/>
    </row>
    <row r="36" spans="1:13">
      <c r="A36" s="40"/>
      <c r="B36" s="40"/>
      <c r="C36" s="43"/>
      <c r="D36" s="43"/>
      <c r="E36" s="40"/>
      <c r="F36" s="40"/>
      <c r="G36" s="40"/>
      <c r="H36" s="40"/>
      <c r="I36" s="40"/>
      <c r="J36" s="40"/>
      <c r="K36" s="40"/>
      <c r="L36" s="40"/>
      <c r="M36" s="40"/>
    </row>
    <row r="37" spans="1:13">
      <c r="A37" s="40"/>
      <c r="B37" s="40"/>
      <c r="C37" s="40"/>
      <c r="D37" s="40"/>
      <c r="E37" s="40"/>
      <c r="F37" s="40"/>
      <c r="G37" s="40"/>
      <c r="H37" s="40"/>
      <c r="I37" s="40"/>
      <c r="J37" s="40"/>
      <c r="K37" s="40"/>
      <c r="L37" s="40"/>
      <c r="M37" s="40"/>
    </row>
    <row r="38" spans="1:13">
      <c r="A38" s="40"/>
      <c r="B38" s="40"/>
      <c r="C38" s="40"/>
      <c r="D38" s="40"/>
      <c r="E38" s="40"/>
      <c r="F38" s="40"/>
      <c r="G38" s="40"/>
      <c r="H38" s="40"/>
      <c r="I38" s="40"/>
      <c r="J38" s="40"/>
      <c r="K38" s="40"/>
      <c r="L38" s="40"/>
      <c r="M38" s="40"/>
    </row>
    <row r="39" spans="1:13" ht="15">
      <c r="A39" s="40"/>
      <c r="B39" s="40"/>
      <c r="C39" s="42" t="s">
        <v>478</v>
      </c>
      <c r="D39" s="42" t="s">
        <v>318</v>
      </c>
      <c r="E39" s="42" t="s">
        <v>319</v>
      </c>
      <c r="F39" s="40"/>
      <c r="G39" s="40"/>
      <c r="H39" s="40"/>
      <c r="I39" s="40"/>
      <c r="J39" s="40"/>
      <c r="K39" s="40"/>
      <c r="L39" s="40"/>
      <c r="M39" s="40"/>
    </row>
    <row r="40" spans="1:13" ht="15">
      <c r="A40" s="33" t="s">
        <v>428</v>
      </c>
      <c r="B40" s="31" t="s">
        <v>320</v>
      </c>
      <c r="C40" s="34"/>
      <c r="D40" s="31"/>
      <c r="E40" s="31"/>
      <c r="F40" s="40"/>
      <c r="G40" s="40"/>
      <c r="H40" s="40"/>
      <c r="I40" s="40"/>
      <c r="J40" s="40"/>
      <c r="K40" s="40"/>
      <c r="L40" s="40"/>
      <c r="M40" s="40"/>
    </row>
    <row r="41" spans="1:13">
      <c r="A41" s="33" t="s">
        <v>429</v>
      </c>
      <c r="B41" s="31" t="s">
        <v>321</v>
      </c>
      <c r="C41" s="31"/>
      <c r="D41" s="31"/>
      <c r="E41" s="31"/>
      <c r="F41" s="40"/>
      <c r="G41" s="40"/>
      <c r="H41" s="40"/>
      <c r="I41" s="40"/>
      <c r="J41" s="40"/>
      <c r="K41" s="40"/>
      <c r="L41" s="40"/>
      <c r="M41" s="40"/>
    </row>
    <row r="42" spans="1:13">
      <c r="A42" s="33" t="s">
        <v>430</v>
      </c>
      <c r="B42" s="31" t="s">
        <v>322</v>
      </c>
      <c r="C42" s="31"/>
      <c r="D42" s="31"/>
      <c r="E42" s="31"/>
      <c r="F42" s="40"/>
      <c r="G42" s="40"/>
      <c r="H42" s="40"/>
      <c r="I42" s="40"/>
      <c r="J42" s="40"/>
      <c r="K42" s="40"/>
      <c r="L42" s="40"/>
      <c r="M42" s="40"/>
    </row>
    <row r="43" spans="1:13">
      <c r="A43" s="33" t="s">
        <v>431</v>
      </c>
      <c r="B43" s="31" t="s">
        <v>323</v>
      </c>
      <c r="C43" s="31"/>
      <c r="D43" s="31"/>
      <c r="E43" s="31"/>
      <c r="F43" s="40"/>
      <c r="G43" s="40"/>
      <c r="H43" s="40"/>
      <c r="I43" s="40"/>
      <c r="J43" s="40"/>
      <c r="K43" s="40"/>
      <c r="L43" s="40"/>
      <c r="M43" s="40"/>
    </row>
    <row r="44" spans="1:13">
      <c r="A44" s="33" t="s">
        <v>432</v>
      </c>
      <c r="B44" s="31" t="s">
        <v>324</v>
      </c>
      <c r="C44" s="31"/>
      <c r="D44" s="31"/>
      <c r="E44" s="31"/>
      <c r="F44" s="40"/>
      <c r="G44" s="40"/>
      <c r="H44" s="40"/>
      <c r="I44" s="40"/>
      <c r="J44" s="40"/>
      <c r="K44" s="40"/>
      <c r="L44" s="40"/>
      <c r="M44" s="40"/>
    </row>
    <row r="45" spans="1:13">
      <c r="A45" s="33" t="s">
        <v>433</v>
      </c>
      <c r="B45" s="31" t="s">
        <v>325</v>
      </c>
      <c r="C45" s="31"/>
      <c r="D45" s="31"/>
      <c r="E45" s="31"/>
      <c r="F45" s="40"/>
      <c r="G45" s="40"/>
      <c r="H45" s="40"/>
      <c r="I45" s="40"/>
      <c r="J45" s="40"/>
      <c r="K45" s="40"/>
      <c r="L45" s="40"/>
      <c r="M45" s="40"/>
    </row>
    <row r="46" spans="1:13">
      <c r="A46" s="33" t="s">
        <v>434</v>
      </c>
      <c r="B46" s="31" t="s">
        <v>326</v>
      </c>
      <c r="C46" s="31"/>
      <c r="D46" s="31"/>
      <c r="E46" s="31"/>
      <c r="F46" s="40"/>
      <c r="G46" s="40"/>
      <c r="H46" s="40"/>
      <c r="I46" s="40"/>
      <c r="J46" s="40"/>
      <c r="K46" s="40"/>
      <c r="L46" s="40"/>
      <c r="M46" s="40"/>
    </row>
    <row r="47" spans="1:13">
      <c r="A47" s="33" t="s">
        <v>435</v>
      </c>
      <c r="B47" s="31" t="s">
        <v>327</v>
      </c>
      <c r="C47" s="31"/>
      <c r="D47" s="31"/>
      <c r="E47" s="31"/>
      <c r="F47" s="40"/>
      <c r="G47" s="40"/>
      <c r="H47" s="40"/>
      <c r="I47" s="40"/>
      <c r="J47" s="40"/>
      <c r="K47" s="40"/>
      <c r="L47" s="40"/>
      <c r="M47" s="40"/>
    </row>
    <row r="48" spans="1:13">
      <c r="A48" s="33" t="s">
        <v>436</v>
      </c>
      <c r="B48" s="31" t="s">
        <v>328</v>
      </c>
      <c r="C48" s="31"/>
      <c r="D48" s="31"/>
      <c r="E48" s="31"/>
      <c r="F48" s="40"/>
      <c r="G48" s="40"/>
      <c r="H48" s="40"/>
      <c r="I48" s="40"/>
      <c r="J48" s="40"/>
      <c r="K48" s="40"/>
      <c r="L48" s="40"/>
      <c r="M48" s="40"/>
    </row>
    <row r="49" spans="1:13">
      <c r="A49" s="33" t="s">
        <v>437</v>
      </c>
      <c r="B49" s="31" t="s">
        <v>329</v>
      </c>
      <c r="C49" s="31"/>
      <c r="D49" s="31"/>
      <c r="E49" s="31"/>
      <c r="F49" s="40"/>
      <c r="G49" s="40"/>
      <c r="H49" s="40"/>
      <c r="I49" s="40"/>
      <c r="J49" s="40"/>
      <c r="K49" s="40"/>
      <c r="L49" s="40"/>
      <c r="M49" s="40"/>
    </row>
    <row r="50" spans="1:13">
      <c r="A50" s="40"/>
      <c r="B50" s="40"/>
      <c r="C50" s="40"/>
      <c r="D50" s="40"/>
      <c r="E50" s="40"/>
      <c r="F50" s="40"/>
      <c r="G50" s="40"/>
      <c r="H50" s="40"/>
      <c r="I50" s="40"/>
      <c r="J50" s="40"/>
      <c r="K50" s="40"/>
      <c r="L50" s="40"/>
      <c r="M50" s="40"/>
    </row>
    <row r="51" spans="1:13">
      <c r="A51" s="40"/>
      <c r="B51" s="40"/>
      <c r="C51" s="40"/>
      <c r="D51" s="40"/>
      <c r="E51" s="40"/>
      <c r="F51" s="40"/>
      <c r="G51" s="40"/>
      <c r="H51" s="40"/>
      <c r="I51" s="40"/>
      <c r="J51" s="40"/>
      <c r="K51" s="40"/>
      <c r="L51" s="40"/>
      <c r="M51" s="40"/>
    </row>
    <row r="52" spans="1:13">
      <c r="A52" s="40"/>
      <c r="B52" s="40"/>
      <c r="C52" s="40"/>
      <c r="D52" s="40"/>
      <c r="E52" s="40"/>
      <c r="F52" s="40"/>
      <c r="G52" s="40"/>
      <c r="H52" s="40"/>
      <c r="I52" s="40"/>
      <c r="J52" s="40"/>
      <c r="K52" s="40"/>
      <c r="L52" s="40"/>
      <c r="M52" s="40"/>
    </row>
    <row r="53" spans="1:13" ht="15">
      <c r="A53" s="40"/>
      <c r="B53" s="42" t="s">
        <v>330</v>
      </c>
      <c r="C53" s="40"/>
      <c r="D53" s="31"/>
      <c r="E53" s="40"/>
      <c r="F53" s="40"/>
      <c r="G53" s="40"/>
      <c r="H53" s="40"/>
      <c r="I53" s="40"/>
      <c r="J53" s="40"/>
      <c r="K53" s="40"/>
      <c r="L53" s="40"/>
      <c r="M53" s="40"/>
    </row>
    <row r="54" spans="1:13" ht="15">
      <c r="A54" s="40"/>
      <c r="B54" s="42"/>
      <c r="C54" s="40"/>
      <c r="D54" s="40"/>
      <c r="E54" s="40"/>
      <c r="F54" s="40"/>
      <c r="G54" s="40"/>
      <c r="H54" s="40"/>
      <c r="I54" s="40"/>
      <c r="J54" s="40"/>
      <c r="K54" s="40"/>
      <c r="L54" s="40"/>
      <c r="M54" s="40"/>
    </row>
    <row r="55" spans="1:13" ht="15">
      <c r="A55" s="40"/>
      <c r="B55" s="40"/>
      <c r="C55" s="42" t="s">
        <v>331</v>
      </c>
      <c r="D55" s="42" t="s">
        <v>318</v>
      </c>
      <c r="E55" s="40"/>
      <c r="F55" s="40"/>
      <c r="G55" s="40"/>
      <c r="H55" s="40"/>
      <c r="I55" s="40"/>
      <c r="J55" s="40"/>
      <c r="K55" s="40"/>
      <c r="L55" s="40"/>
      <c r="M55" s="40"/>
    </row>
    <row r="56" spans="1:13">
      <c r="A56" s="33" t="s">
        <v>438</v>
      </c>
      <c r="B56" s="31" t="s">
        <v>332</v>
      </c>
      <c r="C56" s="31"/>
      <c r="D56" s="31"/>
      <c r="E56" s="40"/>
      <c r="F56" s="40"/>
      <c r="G56" s="40"/>
      <c r="H56" s="40"/>
      <c r="I56" s="40"/>
      <c r="J56" s="40"/>
      <c r="K56" s="40"/>
      <c r="L56" s="40"/>
      <c r="M56" s="40"/>
    </row>
    <row r="57" spans="1:13">
      <c r="A57" s="33" t="s">
        <v>439</v>
      </c>
      <c r="B57" s="31" t="s">
        <v>333</v>
      </c>
      <c r="C57" s="31"/>
      <c r="D57" s="31"/>
      <c r="E57" s="40"/>
      <c r="F57" s="40"/>
      <c r="G57" s="40"/>
      <c r="H57" s="40"/>
      <c r="I57" s="40"/>
      <c r="J57" s="40"/>
      <c r="K57" s="40"/>
      <c r="L57" s="40"/>
      <c r="M57" s="40"/>
    </row>
    <row r="58" spans="1:13">
      <c r="A58" s="33" t="s">
        <v>440</v>
      </c>
      <c r="B58" s="31" t="s">
        <v>334</v>
      </c>
      <c r="C58" s="31"/>
      <c r="D58" s="31"/>
      <c r="E58" s="40"/>
      <c r="F58" s="40"/>
      <c r="G58" s="40"/>
      <c r="H58" s="40"/>
      <c r="I58" s="40"/>
      <c r="J58" s="40"/>
      <c r="K58" s="40"/>
      <c r="L58" s="40"/>
      <c r="M58" s="40"/>
    </row>
    <row r="59" spans="1:13">
      <c r="A59" s="33" t="s">
        <v>441</v>
      </c>
      <c r="B59" s="31" t="s">
        <v>335</v>
      </c>
      <c r="C59" s="31"/>
      <c r="D59" s="31"/>
      <c r="E59" s="40"/>
      <c r="F59" s="40"/>
      <c r="G59" s="40"/>
      <c r="H59" s="40"/>
      <c r="I59" s="40"/>
      <c r="J59" s="40"/>
      <c r="K59" s="40"/>
      <c r="L59" s="40"/>
      <c r="M59" s="40"/>
    </row>
    <row r="60" spans="1:13">
      <c r="A60" s="33" t="s">
        <v>442</v>
      </c>
      <c r="B60" s="31" t="s">
        <v>336</v>
      </c>
      <c r="C60" s="31"/>
      <c r="D60" s="31"/>
      <c r="E60" s="40"/>
      <c r="F60" s="40"/>
      <c r="G60" s="40"/>
      <c r="H60" s="40"/>
      <c r="I60" s="40"/>
      <c r="J60" s="40"/>
      <c r="K60" s="40"/>
      <c r="L60" s="40"/>
      <c r="M60" s="40"/>
    </row>
    <row r="61" spans="1:13">
      <c r="A61" s="33" t="s">
        <v>443</v>
      </c>
      <c r="B61" s="31" t="s">
        <v>337</v>
      </c>
      <c r="C61" s="31"/>
      <c r="D61" s="31"/>
      <c r="E61" s="40"/>
      <c r="F61" s="40"/>
      <c r="G61" s="40"/>
      <c r="H61" s="40"/>
      <c r="I61" s="40"/>
      <c r="J61" s="40"/>
      <c r="K61" s="40"/>
      <c r="L61" s="40"/>
      <c r="M61" s="40"/>
    </row>
    <row r="62" spans="1:13">
      <c r="A62" s="33" t="s">
        <v>444</v>
      </c>
      <c r="B62" s="31" t="s">
        <v>338</v>
      </c>
      <c r="C62" s="31"/>
      <c r="D62" s="31"/>
      <c r="E62" s="40"/>
      <c r="F62" s="40"/>
      <c r="G62" s="40"/>
      <c r="H62" s="40"/>
      <c r="I62" s="40"/>
      <c r="J62" s="40"/>
      <c r="K62" s="40"/>
      <c r="L62" s="40"/>
      <c r="M62" s="40"/>
    </row>
    <row r="63" spans="1:13">
      <c r="A63" s="33" t="s">
        <v>445</v>
      </c>
      <c r="B63" s="31" t="s">
        <v>339</v>
      </c>
      <c r="C63" s="31"/>
      <c r="D63" s="31"/>
      <c r="E63" s="40"/>
      <c r="F63" s="40"/>
      <c r="G63" s="40"/>
      <c r="H63" s="40"/>
      <c r="I63" s="40"/>
      <c r="J63" s="40"/>
      <c r="K63" s="40"/>
      <c r="L63" s="40"/>
      <c r="M63" s="40"/>
    </row>
    <row r="64" spans="1:13">
      <c r="A64" s="33" t="s">
        <v>446</v>
      </c>
      <c r="B64" s="31" t="s">
        <v>340</v>
      </c>
      <c r="C64" s="31"/>
      <c r="D64" s="31"/>
      <c r="E64" s="40"/>
      <c r="F64" s="40"/>
      <c r="G64" s="40"/>
      <c r="H64" s="40"/>
      <c r="I64" s="40"/>
      <c r="J64" s="40"/>
      <c r="K64" s="40"/>
      <c r="L64" s="40"/>
      <c r="M64" s="40"/>
    </row>
    <row r="65" spans="1:13">
      <c r="A65" s="33" t="s">
        <v>447</v>
      </c>
      <c r="B65" s="31" t="s">
        <v>341</v>
      </c>
      <c r="C65" s="31"/>
      <c r="D65" s="31"/>
      <c r="E65" s="40"/>
      <c r="F65" s="40"/>
      <c r="G65" s="40"/>
      <c r="H65" s="40"/>
      <c r="I65" s="40"/>
      <c r="J65" s="40"/>
      <c r="K65" s="40"/>
      <c r="L65" s="40"/>
      <c r="M65" s="40"/>
    </row>
    <row r="66" spans="1:13">
      <c r="A66" s="40"/>
      <c r="B66" s="40"/>
      <c r="C66" s="40"/>
      <c r="D66" s="40"/>
      <c r="E66" s="40"/>
      <c r="F66" s="40"/>
      <c r="G66" s="40"/>
      <c r="H66" s="40"/>
      <c r="I66" s="40"/>
      <c r="J66" s="40"/>
      <c r="K66" s="40"/>
      <c r="L66" s="40"/>
      <c r="M66" s="40"/>
    </row>
    <row r="67" spans="1:13">
      <c r="A67" s="44"/>
      <c r="B67" s="44"/>
      <c r="C67" s="44"/>
      <c r="D67" s="44"/>
      <c r="E67" s="44"/>
      <c r="F67" s="44"/>
      <c r="G67" s="44"/>
      <c r="H67" s="44"/>
      <c r="I67" s="44"/>
      <c r="J67" s="44"/>
      <c r="K67" s="44"/>
      <c r="L67" s="44"/>
      <c r="M67" s="44"/>
    </row>
    <row r="68" spans="1:13">
      <c r="A68" s="44"/>
      <c r="B68" s="44"/>
      <c r="C68" s="44"/>
      <c r="D68" s="44"/>
      <c r="E68" s="44"/>
      <c r="F68" s="44"/>
      <c r="G68" s="44"/>
      <c r="H68" s="44"/>
      <c r="I68" s="44"/>
      <c r="J68" s="44"/>
      <c r="K68" s="44"/>
      <c r="L68" s="44"/>
      <c r="M68" s="44"/>
    </row>
    <row r="69" spans="1:13">
      <c r="A69" s="44"/>
      <c r="B69" s="44"/>
      <c r="C69" s="44"/>
      <c r="D69" s="44"/>
      <c r="E69" s="44"/>
      <c r="F69" s="44"/>
      <c r="G69" s="44"/>
      <c r="H69" s="44"/>
      <c r="I69" s="44"/>
      <c r="J69" s="44"/>
      <c r="K69" s="44"/>
      <c r="L69" s="44"/>
      <c r="M69" s="44"/>
    </row>
    <row r="70" spans="1:13">
      <c r="A70" s="44"/>
      <c r="B70" s="44"/>
      <c r="C70" s="44"/>
      <c r="D70" s="44"/>
      <c r="E70" s="44"/>
      <c r="F70" s="44"/>
      <c r="G70" s="44"/>
      <c r="H70" s="44"/>
      <c r="I70" s="44"/>
      <c r="J70" s="44"/>
      <c r="K70" s="44"/>
      <c r="L70" s="44"/>
      <c r="M70" s="44"/>
    </row>
    <row r="71" spans="1:13">
      <c r="A71" s="44"/>
      <c r="B71" s="44"/>
      <c r="C71" s="44"/>
      <c r="D71" s="44"/>
      <c r="E71" s="44"/>
      <c r="F71" s="44"/>
      <c r="G71" s="44"/>
      <c r="H71" s="44"/>
      <c r="I71" s="45"/>
      <c r="J71" s="44"/>
      <c r="K71" s="44"/>
      <c r="L71" s="44"/>
      <c r="M71" s="44"/>
    </row>
    <row r="72" spans="1:13">
      <c r="A72" s="44"/>
      <c r="B72" s="44"/>
      <c r="C72" s="44"/>
      <c r="D72" s="44"/>
      <c r="E72" s="44"/>
      <c r="F72" s="44"/>
      <c r="G72" s="44"/>
      <c r="H72" s="44"/>
      <c r="I72" s="45"/>
      <c r="J72" s="44"/>
      <c r="K72" s="44"/>
      <c r="L72" s="44"/>
      <c r="M72" s="44"/>
    </row>
    <row r="73" spans="1:13" ht="15">
      <c r="A73" s="44"/>
      <c r="B73" s="46" t="s">
        <v>1142</v>
      </c>
      <c r="C73" s="44"/>
      <c r="D73" s="31"/>
      <c r="E73" s="44"/>
      <c r="F73" s="44"/>
      <c r="G73" s="44"/>
      <c r="H73" s="44"/>
      <c r="I73" s="45"/>
      <c r="J73" s="44"/>
      <c r="K73" s="44"/>
      <c r="L73" s="44"/>
      <c r="M73" s="44"/>
    </row>
    <row r="74" spans="1:13" ht="15">
      <c r="A74" s="44"/>
      <c r="B74" s="46" t="s">
        <v>1009</v>
      </c>
      <c r="C74" s="44"/>
      <c r="D74" s="31"/>
      <c r="E74" s="44"/>
      <c r="F74" s="44"/>
      <c r="G74" s="44"/>
      <c r="H74" s="44"/>
      <c r="I74" s="45"/>
      <c r="J74" s="44"/>
      <c r="K74" s="44"/>
      <c r="L74" s="44"/>
      <c r="M74" s="44"/>
    </row>
    <row r="75" spans="1:13">
      <c r="A75" s="44"/>
      <c r="B75" s="44"/>
      <c r="C75" s="44"/>
      <c r="D75" s="44"/>
      <c r="E75" s="44"/>
      <c r="F75" s="44"/>
      <c r="G75" s="44"/>
      <c r="H75" s="44"/>
      <c r="I75" s="45"/>
      <c r="J75" s="44"/>
      <c r="K75" s="44"/>
      <c r="L75" s="44"/>
      <c r="M75" s="44"/>
    </row>
    <row r="76" spans="1:13" ht="15">
      <c r="A76" s="44"/>
      <c r="B76" s="46"/>
      <c r="C76" s="46" t="s">
        <v>314</v>
      </c>
      <c r="D76" s="46" t="s">
        <v>315</v>
      </c>
      <c r="E76" s="44"/>
      <c r="F76" s="44"/>
      <c r="G76" s="44"/>
      <c r="H76" s="44"/>
      <c r="I76" s="44"/>
      <c r="J76" s="44"/>
      <c r="K76" s="44"/>
      <c r="L76" s="44"/>
      <c r="M76" s="44"/>
    </row>
    <row r="77" spans="1:13">
      <c r="A77" s="35" t="s">
        <v>448</v>
      </c>
      <c r="B77" s="31" t="s">
        <v>369</v>
      </c>
      <c r="C77" s="31"/>
      <c r="D77" s="31"/>
      <c r="E77" s="44"/>
      <c r="F77" s="44"/>
      <c r="G77" s="44"/>
      <c r="H77" s="44"/>
      <c r="I77" s="44"/>
      <c r="J77" s="44"/>
      <c r="K77" s="44"/>
      <c r="L77" s="44"/>
      <c r="M77" s="44"/>
    </row>
    <row r="78" spans="1:13">
      <c r="A78" s="35" t="s">
        <v>449</v>
      </c>
      <c r="B78" s="31" t="s">
        <v>369</v>
      </c>
      <c r="C78" s="31"/>
      <c r="D78" s="31"/>
      <c r="E78" s="44"/>
      <c r="F78" s="44"/>
      <c r="G78" s="44"/>
      <c r="H78" s="44"/>
      <c r="I78" s="44"/>
      <c r="J78" s="44"/>
      <c r="K78" s="44"/>
      <c r="L78" s="44"/>
      <c r="M78" s="44"/>
    </row>
    <row r="79" spans="1:13">
      <c r="A79" s="35" t="s">
        <v>450</v>
      </c>
      <c r="B79" s="31" t="s">
        <v>369</v>
      </c>
      <c r="C79" s="31"/>
      <c r="D79" s="31"/>
      <c r="E79" s="44"/>
      <c r="F79" s="44"/>
      <c r="G79" s="44"/>
      <c r="H79" s="44"/>
      <c r="I79" s="44"/>
      <c r="J79" s="44"/>
      <c r="K79" s="44"/>
      <c r="L79" s="44"/>
      <c r="M79" s="44"/>
    </row>
    <row r="80" spans="1:13">
      <c r="A80" s="35" t="s">
        <v>502</v>
      </c>
      <c r="B80" s="31" t="s">
        <v>369</v>
      </c>
      <c r="C80" s="31"/>
      <c r="D80" s="31"/>
      <c r="E80" s="44"/>
      <c r="F80" s="44"/>
      <c r="G80" s="44"/>
      <c r="H80" s="44"/>
      <c r="I80" s="44"/>
      <c r="J80" s="44"/>
      <c r="K80" s="44"/>
      <c r="L80" s="44"/>
      <c r="M80" s="44"/>
    </row>
    <row r="81" spans="1:13">
      <c r="A81" s="35" t="s">
        <v>503</v>
      </c>
      <c r="B81" s="31" t="s">
        <v>369</v>
      </c>
      <c r="C81" s="31"/>
      <c r="D81" s="31"/>
      <c r="E81" s="44"/>
      <c r="F81" s="44"/>
      <c r="G81" s="44"/>
      <c r="H81" s="44"/>
      <c r="I81" s="44"/>
      <c r="J81" s="44"/>
      <c r="K81" s="44"/>
      <c r="L81" s="44"/>
      <c r="M81" s="44"/>
    </row>
    <row r="82" spans="1:13">
      <c r="A82" s="35" t="s">
        <v>504</v>
      </c>
      <c r="B82" s="31" t="s">
        <v>369</v>
      </c>
      <c r="C82" s="31"/>
      <c r="D82" s="31"/>
      <c r="E82" s="44"/>
      <c r="F82" s="44"/>
      <c r="G82" s="44"/>
      <c r="H82" s="44"/>
      <c r="I82" s="44"/>
      <c r="J82" s="44"/>
      <c r="K82" s="44"/>
      <c r="L82" s="44"/>
      <c r="M82" s="44"/>
    </row>
    <row r="83" spans="1:13">
      <c r="A83" s="35" t="s">
        <v>505</v>
      </c>
      <c r="B83" s="31" t="s">
        <v>369</v>
      </c>
      <c r="C83" s="31"/>
      <c r="D83" s="31"/>
      <c r="E83" s="44"/>
      <c r="F83" s="44"/>
      <c r="G83" s="44"/>
      <c r="H83" s="44"/>
      <c r="I83" s="44"/>
      <c r="J83" s="44"/>
      <c r="K83" s="44"/>
      <c r="L83" s="44"/>
      <c r="M83" s="44"/>
    </row>
    <row r="84" spans="1:13">
      <c r="A84" s="35" t="s">
        <v>506</v>
      </c>
      <c r="B84" s="31" t="s">
        <v>369</v>
      </c>
      <c r="C84" s="31"/>
      <c r="D84" s="31"/>
      <c r="E84" s="44"/>
      <c r="F84" s="44"/>
      <c r="G84" s="44"/>
      <c r="H84" s="44"/>
      <c r="I84" s="44"/>
      <c r="J84" s="44"/>
      <c r="K84" s="44"/>
      <c r="L84" s="44"/>
      <c r="M84" s="44"/>
    </row>
    <row r="85" spans="1:13">
      <c r="A85" s="35" t="s">
        <v>507</v>
      </c>
      <c r="B85" s="31" t="s">
        <v>369</v>
      </c>
      <c r="C85" s="31"/>
      <c r="D85" s="31"/>
      <c r="E85" s="44"/>
      <c r="F85" s="44"/>
      <c r="G85" s="44"/>
      <c r="H85" s="44"/>
      <c r="I85" s="44"/>
      <c r="J85" s="44"/>
      <c r="K85" s="44"/>
      <c r="L85" s="44"/>
      <c r="M85" s="44"/>
    </row>
    <row r="86" spans="1:13">
      <c r="A86" s="35" t="s">
        <v>508</v>
      </c>
      <c r="B86" s="31" t="s">
        <v>369</v>
      </c>
      <c r="C86" s="31"/>
      <c r="D86" s="31"/>
      <c r="E86" s="44"/>
      <c r="F86" s="44"/>
      <c r="G86" s="44"/>
      <c r="H86" s="44"/>
      <c r="I86" s="44"/>
      <c r="J86" s="44"/>
      <c r="K86" s="44"/>
      <c r="L86" s="44"/>
      <c r="M86" s="44"/>
    </row>
    <row r="87" spans="1:13">
      <c r="A87" s="44"/>
      <c r="B87" s="44"/>
      <c r="C87" s="44"/>
      <c r="D87" s="44"/>
      <c r="E87" s="44"/>
      <c r="F87" s="44"/>
      <c r="G87" s="44"/>
      <c r="H87" s="44"/>
      <c r="I87" s="44"/>
      <c r="J87" s="44"/>
      <c r="K87" s="44"/>
      <c r="L87" s="44"/>
      <c r="M87" s="44"/>
    </row>
    <row r="88" spans="1:13">
      <c r="A88" s="44"/>
      <c r="B88" s="44"/>
      <c r="C88" s="44"/>
      <c r="D88" s="44"/>
      <c r="E88" s="44"/>
      <c r="F88" s="44"/>
      <c r="G88" s="44"/>
      <c r="H88" s="44"/>
      <c r="I88" s="44"/>
      <c r="J88" s="44"/>
      <c r="K88" s="44"/>
      <c r="L88" s="44"/>
      <c r="M88" s="44"/>
    </row>
    <row r="89" spans="1:13">
      <c r="A89" s="44"/>
      <c r="B89" s="44"/>
      <c r="C89" s="44"/>
      <c r="D89" s="44"/>
      <c r="E89" s="44"/>
      <c r="F89" s="44"/>
      <c r="G89" s="44"/>
      <c r="H89" s="44"/>
      <c r="I89" s="44"/>
      <c r="J89" s="44"/>
      <c r="K89" s="44"/>
      <c r="L89" s="44"/>
      <c r="M89" s="44"/>
    </row>
    <row r="90" spans="1:13" ht="15">
      <c r="A90" s="44"/>
      <c r="B90" s="44"/>
      <c r="C90" s="46" t="s">
        <v>317</v>
      </c>
      <c r="D90" s="46" t="s">
        <v>318</v>
      </c>
      <c r="E90" s="46" t="s">
        <v>319</v>
      </c>
      <c r="F90" s="44"/>
      <c r="G90" s="44"/>
      <c r="H90" s="44"/>
      <c r="I90" s="44"/>
      <c r="J90" s="44"/>
      <c r="K90" s="44"/>
      <c r="L90" s="44"/>
      <c r="M90" s="44"/>
    </row>
    <row r="91" spans="1:13">
      <c r="A91" s="35" t="s">
        <v>529</v>
      </c>
      <c r="B91" s="31" t="s">
        <v>320</v>
      </c>
      <c r="C91" s="31"/>
      <c r="D91" s="31"/>
      <c r="E91" s="31"/>
      <c r="F91" s="44"/>
      <c r="G91" s="44"/>
      <c r="H91" s="44"/>
      <c r="I91" s="44"/>
      <c r="J91" s="44"/>
      <c r="K91" s="44"/>
      <c r="L91" s="44"/>
      <c r="M91" s="44"/>
    </row>
    <row r="92" spans="1:13">
      <c r="A92" s="35" t="s">
        <v>530</v>
      </c>
      <c r="B92" s="31" t="s">
        <v>321</v>
      </c>
      <c r="C92" s="31"/>
      <c r="D92" s="31"/>
      <c r="E92" s="31"/>
      <c r="F92" s="44"/>
      <c r="G92" s="44"/>
      <c r="H92" s="44"/>
      <c r="I92" s="44"/>
      <c r="J92" s="44"/>
      <c r="K92" s="44"/>
      <c r="L92" s="44"/>
      <c r="M92" s="44"/>
    </row>
    <row r="93" spans="1:13">
      <c r="A93" s="35" t="s">
        <v>531</v>
      </c>
      <c r="B93" s="31" t="s">
        <v>322</v>
      </c>
      <c r="C93" s="31"/>
      <c r="D93" s="31"/>
      <c r="E93" s="31"/>
      <c r="F93" s="44"/>
      <c r="G93" s="44"/>
      <c r="H93" s="44"/>
      <c r="I93" s="44"/>
      <c r="J93" s="44"/>
      <c r="K93" s="44"/>
      <c r="L93" s="44"/>
      <c r="M93" s="44"/>
    </row>
    <row r="94" spans="1:13">
      <c r="A94" s="35" t="s">
        <v>532</v>
      </c>
      <c r="B94" s="31" t="s">
        <v>323</v>
      </c>
      <c r="C94" s="31"/>
      <c r="D94" s="31"/>
      <c r="E94" s="31"/>
      <c r="F94" s="44"/>
      <c r="G94" s="44"/>
      <c r="H94" s="44"/>
      <c r="I94" s="44"/>
      <c r="J94" s="44"/>
      <c r="K94" s="44"/>
      <c r="L94" s="44"/>
      <c r="M94" s="44"/>
    </row>
    <row r="95" spans="1:13">
      <c r="A95" s="35" t="s">
        <v>533</v>
      </c>
      <c r="B95" s="31" t="s">
        <v>324</v>
      </c>
      <c r="C95" s="31"/>
      <c r="D95" s="31"/>
      <c r="E95" s="31"/>
      <c r="F95" s="44"/>
      <c r="G95" s="44"/>
      <c r="H95" s="44"/>
      <c r="I95" s="44"/>
      <c r="J95" s="44"/>
      <c r="K95" s="44"/>
      <c r="L95" s="44"/>
      <c r="M95" s="44"/>
    </row>
    <row r="96" spans="1:13">
      <c r="A96" s="35" t="s">
        <v>534</v>
      </c>
      <c r="B96" s="31" t="s">
        <v>325</v>
      </c>
      <c r="C96" s="31"/>
      <c r="D96" s="31"/>
      <c r="E96" s="31"/>
      <c r="F96" s="44"/>
      <c r="G96" s="44"/>
      <c r="H96" s="44"/>
      <c r="I96" s="44"/>
      <c r="J96" s="44"/>
      <c r="K96" s="44"/>
      <c r="L96" s="44"/>
      <c r="M96" s="44"/>
    </row>
    <row r="97" spans="1:13">
      <c r="A97" s="35" t="s">
        <v>535</v>
      </c>
      <c r="B97" s="31" t="s">
        <v>326</v>
      </c>
      <c r="C97" s="31"/>
      <c r="D97" s="31"/>
      <c r="E97" s="31"/>
      <c r="F97" s="44"/>
      <c r="G97" s="44"/>
      <c r="H97" s="44"/>
      <c r="I97" s="44"/>
      <c r="J97" s="44"/>
      <c r="K97" s="44"/>
      <c r="L97" s="44"/>
      <c r="M97" s="44"/>
    </row>
    <row r="98" spans="1:13">
      <c r="A98" s="35" t="s">
        <v>536</v>
      </c>
      <c r="B98" s="31" t="s">
        <v>327</v>
      </c>
      <c r="C98" s="31"/>
      <c r="D98" s="31"/>
      <c r="E98" s="31"/>
      <c r="F98" s="44"/>
      <c r="G98" s="44"/>
      <c r="H98" s="44"/>
      <c r="I98" s="44"/>
      <c r="J98" s="44"/>
      <c r="K98" s="44"/>
      <c r="L98" s="44"/>
      <c r="M98" s="44"/>
    </row>
    <row r="99" spans="1:13">
      <c r="A99" s="35" t="s">
        <v>537</v>
      </c>
      <c r="B99" s="31" t="s">
        <v>328</v>
      </c>
      <c r="C99" s="31"/>
      <c r="D99" s="31"/>
      <c r="E99" s="31"/>
      <c r="F99" s="44"/>
      <c r="G99" s="44"/>
      <c r="H99" s="44"/>
      <c r="I99" s="44"/>
      <c r="J99" s="44"/>
      <c r="K99" s="44"/>
      <c r="L99" s="44"/>
      <c r="M99" s="44"/>
    </row>
    <row r="100" spans="1:13">
      <c r="A100" s="35" t="s">
        <v>538</v>
      </c>
      <c r="B100" s="31" t="s">
        <v>329</v>
      </c>
      <c r="C100" s="31"/>
      <c r="D100" s="31"/>
      <c r="E100" s="31"/>
      <c r="F100" s="44"/>
      <c r="G100" s="44"/>
      <c r="H100" s="44"/>
      <c r="I100" s="44"/>
      <c r="J100" s="44"/>
      <c r="K100" s="44"/>
      <c r="L100" s="44"/>
      <c r="M100" s="44"/>
    </row>
    <row r="101" spans="1:13">
      <c r="A101" s="44"/>
      <c r="B101" s="44"/>
      <c r="C101" s="44"/>
      <c r="D101" s="44"/>
      <c r="E101" s="44"/>
      <c r="F101" s="44"/>
      <c r="G101" s="44"/>
      <c r="H101" s="44"/>
      <c r="I101" s="44"/>
      <c r="J101" s="44"/>
      <c r="K101" s="44"/>
      <c r="L101" s="44"/>
      <c r="M101" s="44"/>
    </row>
    <row r="102" spans="1:13">
      <c r="A102" s="44"/>
      <c r="B102" s="44"/>
      <c r="C102" s="44"/>
      <c r="D102" s="44"/>
      <c r="E102" s="44"/>
      <c r="F102" s="44"/>
      <c r="G102" s="44"/>
      <c r="H102" s="44"/>
      <c r="I102" s="44"/>
      <c r="J102" s="44"/>
      <c r="K102" s="44"/>
      <c r="L102" s="44"/>
      <c r="M102" s="44"/>
    </row>
    <row r="103" spans="1:13">
      <c r="A103" s="44"/>
      <c r="B103" s="44"/>
      <c r="C103" s="44"/>
      <c r="D103" s="44"/>
      <c r="E103" s="44"/>
      <c r="F103" s="44"/>
      <c r="G103" s="44"/>
      <c r="H103" s="44"/>
      <c r="I103" s="44"/>
      <c r="J103" s="44"/>
      <c r="K103" s="44"/>
      <c r="L103" s="44"/>
      <c r="M103" s="44"/>
    </row>
    <row r="104" spans="1:13">
      <c r="A104" s="44"/>
      <c r="B104" s="44"/>
      <c r="C104" s="44"/>
      <c r="D104" s="44"/>
      <c r="E104" s="44"/>
      <c r="F104" s="44"/>
      <c r="G104" s="44"/>
      <c r="H104" s="44"/>
      <c r="I104" s="44"/>
      <c r="J104" s="44"/>
      <c r="K104" s="44"/>
      <c r="L104" s="44"/>
      <c r="M104" s="44"/>
    </row>
    <row r="105" spans="1:13" ht="15">
      <c r="A105" s="44"/>
      <c r="B105" s="46" t="s">
        <v>964</v>
      </c>
      <c r="C105" s="44"/>
      <c r="D105" s="31"/>
      <c r="E105" s="44"/>
      <c r="F105" s="44"/>
      <c r="G105" s="44"/>
      <c r="H105" s="44"/>
      <c r="I105" s="44"/>
      <c r="J105" s="44"/>
      <c r="K105" s="44"/>
      <c r="L105" s="44"/>
      <c r="M105" s="44"/>
    </row>
    <row r="106" spans="1:13" ht="15">
      <c r="A106" s="44"/>
      <c r="B106" s="46" t="s">
        <v>330</v>
      </c>
      <c r="C106" s="44"/>
      <c r="D106" s="31"/>
      <c r="E106" s="44"/>
      <c r="F106" s="44"/>
      <c r="G106" s="44"/>
      <c r="H106" s="44"/>
      <c r="I106" s="44"/>
      <c r="J106" s="44"/>
      <c r="K106" s="44"/>
      <c r="L106" s="44"/>
      <c r="M106" s="44"/>
    </row>
    <row r="107" spans="1:13">
      <c r="A107" s="44"/>
      <c r="B107" s="44"/>
      <c r="C107" s="44"/>
      <c r="D107" s="44"/>
      <c r="E107" s="44"/>
      <c r="F107" s="44"/>
      <c r="G107" s="44"/>
      <c r="H107" s="44"/>
      <c r="I107" s="44"/>
      <c r="J107" s="44"/>
      <c r="K107" s="44"/>
      <c r="L107" s="44"/>
      <c r="M107" s="44"/>
    </row>
    <row r="108" spans="1:13" ht="15">
      <c r="A108" s="44"/>
      <c r="B108" s="44"/>
      <c r="C108" s="46" t="s">
        <v>331</v>
      </c>
      <c r="D108" s="46" t="s">
        <v>318</v>
      </c>
      <c r="E108" s="46"/>
      <c r="F108" s="44"/>
      <c r="G108" s="44"/>
      <c r="H108" s="44"/>
      <c r="I108" s="44"/>
      <c r="J108" s="44"/>
      <c r="K108" s="44"/>
      <c r="L108" s="44"/>
      <c r="M108" s="44"/>
    </row>
    <row r="109" spans="1:13">
      <c r="A109" s="35" t="s">
        <v>639</v>
      </c>
      <c r="B109" s="31" t="s">
        <v>332</v>
      </c>
      <c r="C109" s="31"/>
      <c r="D109" s="31"/>
      <c r="E109" s="44"/>
      <c r="F109" s="44"/>
      <c r="G109" s="44"/>
      <c r="H109" s="44"/>
      <c r="I109" s="44"/>
      <c r="J109" s="44"/>
      <c r="K109" s="44"/>
      <c r="L109" s="44"/>
      <c r="M109" s="44"/>
    </row>
    <row r="110" spans="1:13">
      <c r="A110" s="35" t="s">
        <v>640</v>
      </c>
      <c r="B110" s="31" t="s">
        <v>333</v>
      </c>
      <c r="C110" s="31"/>
      <c r="D110" s="31"/>
      <c r="E110" s="44"/>
      <c r="F110" s="44"/>
      <c r="G110" s="44"/>
      <c r="H110" s="44"/>
      <c r="I110" s="44"/>
      <c r="J110" s="44"/>
      <c r="K110" s="44"/>
      <c r="L110" s="44"/>
      <c r="M110" s="44"/>
    </row>
    <row r="111" spans="1:13">
      <c r="A111" s="35" t="s">
        <v>641</v>
      </c>
      <c r="B111" s="31" t="s">
        <v>334</v>
      </c>
      <c r="C111" s="31"/>
      <c r="D111" s="31"/>
      <c r="E111" s="44"/>
      <c r="F111" s="44"/>
      <c r="G111" s="44"/>
      <c r="H111" s="44"/>
      <c r="I111" s="44"/>
      <c r="J111" s="44"/>
      <c r="K111" s="44"/>
      <c r="L111" s="44"/>
      <c r="M111" s="44"/>
    </row>
    <row r="112" spans="1:13">
      <c r="A112" s="35" t="s">
        <v>642</v>
      </c>
      <c r="B112" s="31" t="s">
        <v>335</v>
      </c>
      <c r="C112" s="31"/>
      <c r="D112" s="31"/>
      <c r="E112" s="44"/>
      <c r="F112" s="44"/>
      <c r="G112" s="44"/>
      <c r="H112" s="44"/>
      <c r="I112" s="44"/>
      <c r="J112" s="44"/>
      <c r="K112" s="44"/>
      <c r="L112" s="44"/>
      <c r="M112" s="44"/>
    </row>
    <row r="113" spans="1:13">
      <c r="A113" s="35" t="s">
        <v>643</v>
      </c>
      <c r="B113" s="31" t="s">
        <v>336</v>
      </c>
      <c r="C113" s="31"/>
      <c r="D113" s="31"/>
      <c r="E113" s="44"/>
      <c r="F113" s="44"/>
      <c r="G113" s="44"/>
      <c r="H113" s="44"/>
      <c r="I113" s="44"/>
      <c r="J113" s="44"/>
      <c r="K113" s="44"/>
      <c r="L113" s="44"/>
      <c r="M113" s="44"/>
    </row>
    <row r="114" spans="1:13">
      <c r="A114" s="35" t="s">
        <v>644</v>
      </c>
      <c r="B114" s="31" t="s">
        <v>337</v>
      </c>
      <c r="C114" s="31"/>
      <c r="D114" s="31"/>
      <c r="E114" s="44"/>
      <c r="F114" s="44"/>
      <c r="G114" s="44"/>
      <c r="H114" s="44"/>
      <c r="I114" s="44"/>
      <c r="J114" s="44"/>
      <c r="K114" s="44"/>
      <c r="L114" s="44"/>
      <c r="M114" s="44"/>
    </row>
    <row r="115" spans="1:13">
      <c r="A115" s="35" t="s">
        <v>645</v>
      </c>
      <c r="B115" s="31" t="s">
        <v>338</v>
      </c>
      <c r="C115" s="31"/>
      <c r="D115" s="31"/>
      <c r="E115" s="44"/>
      <c r="F115" s="44"/>
      <c r="G115" s="44"/>
      <c r="H115" s="44"/>
      <c r="I115" s="44"/>
      <c r="J115" s="44"/>
      <c r="K115" s="44"/>
      <c r="L115" s="44"/>
      <c r="M115" s="44"/>
    </row>
    <row r="116" spans="1:13">
      <c r="A116" s="35" t="s">
        <v>646</v>
      </c>
      <c r="B116" s="31" t="s">
        <v>339</v>
      </c>
      <c r="C116" s="31"/>
      <c r="D116" s="31"/>
      <c r="E116" s="44"/>
      <c r="F116" s="44"/>
      <c r="G116" s="44"/>
      <c r="H116" s="44"/>
      <c r="I116" s="44"/>
      <c r="J116" s="44"/>
      <c r="K116" s="44"/>
      <c r="L116" s="44"/>
      <c r="M116" s="44"/>
    </row>
    <row r="117" spans="1:13">
      <c r="A117" s="35" t="s">
        <v>647</v>
      </c>
      <c r="B117" s="31" t="s">
        <v>340</v>
      </c>
      <c r="C117" s="31"/>
      <c r="D117" s="31"/>
      <c r="E117" s="44"/>
      <c r="F117" s="44"/>
      <c r="G117" s="44"/>
      <c r="H117" s="44"/>
      <c r="I117" s="44"/>
      <c r="J117" s="44"/>
      <c r="K117" s="44"/>
      <c r="L117" s="44"/>
      <c r="M117" s="44"/>
    </row>
    <row r="118" spans="1:13">
      <c r="A118" s="35" t="s">
        <v>648</v>
      </c>
      <c r="B118" s="31" t="s">
        <v>341</v>
      </c>
      <c r="C118" s="31"/>
      <c r="D118" s="31"/>
      <c r="E118" s="44"/>
      <c r="F118" s="44"/>
      <c r="G118" s="44"/>
      <c r="H118" s="44"/>
      <c r="I118" s="44"/>
      <c r="J118" s="44"/>
      <c r="K118" s="44"/>
      <c r="L118" s="44"/>
      <c r="M118" s="44"/>
    </row>
    <row r="119" spans="1:13">
      <c r="A119" s="44"/>
      <c r="B119" s="44"/>
      <c r="C119" s="44"/>
      <c r="D119" s="44"/>
      <c r="E119" s="44"/>
      <c r="F119" s="44"/>
      <c r="G119" s="44"/>
      <c r="H119" s="44"/>
      <c r="I119" s="44"/>
      <c r="J119" s="44"/>
      <c r="K119" s="44"/>
      <c r="L119" s="44"/>
      <c r="M119" s="44"/>
    </row>
    <row r="120" spans="1:13">
      <c r="A120" s="44"/>
      <c r="B120" s="44"/>
      <c r="C120" s="44"/>
      <c r="D120" s="44"/>
      <c r="E120" s="44"/>
      <c r="F120" s="44"/>
      <c r="G120" s="44"/>
      <c r="H120" s="44"/>
      <c r="I120" s="44"/>
      <c r="J120" s="44"/>
      <c r="K120" s="44"/>
      <c r="L120" s="44"/>
      <c r="M120" s="44"/>
    </row>
    <row r="121" spans="1:13">
      <c r="A121" s="44"/>
      <c r="B121" s="44"/>
      <c r="C121" s="44"/>
      <c r="D121" s="44"/>
      <c r="E121" s="44"/>
      <c r="F121" s="44"/>
      <c r="G121" s="44"/>
      <c r="H121" s="44"/>
      <c r="I121" s="44"/>
      <c r="J121" s="44"/>
      <c r="K121" s="44"/>
      <c r="L121" s="44"/>
      <c r="M121" s="44"/>
    </row>
    <row r="122" spans="1:13" ht="15">
      <c r="A122" s="44"/>
      <c r="B122" s="46" t="s">
        <v>368</v>
      </c>
      <c r="C122" s="46"/>
      <c r="D122" s="31"/>
      <c r="E122" s="44"/>
      <c r="F122" s="44"/>
      <c r="G122" s="44"/>
      <c r="H122" s="44"/>
      <c r="I122" s="44"/>
      <c r="J122" s="44"/>
      <c r="K122" s="44"/>
      <c r="L122" s="44"/>
      <c r="M122" s="44"/>
    </row>
    <row r="123" spans="1:13" ht="15">
      <c r="A123" s="44"/>
      <c r="B123" s="46" t="s">
        <v>342</v>
      </c>
      <c r="C123" s="46"/>
      <c r="D123" s="31"/>
      <c r="E123" s="44"/>
      <c r="F123" s="44"/>
      <c r="G123" s="44"/>
      <c r="H123" s="44"/>
      <c r="I123" s="44"/>
      <c r="J123" s="44"/>
      <c r="K123" s="44"/>
      <c r="L123" s="44"/>
      <c r="M123" s="44"/>
    </row>
    <row r="124" spans="1:13">
      <c r="A124" s="44"/>
      <c r="B124" s="44"/>
      <c r="C124" s="44"/>
      <c r="D124" s="44"/>
      <c r="E124" s="44"/>
      <c r="F124" s="44"/>
      <c r="G124" s="44"/>
      <c r="H124" s="44"/>
      <c r="I124" s="44"/>
      <c r="J124" s="44"/>
      <c r="K124" s="44"/>
      <c r="L124" s="44"/>
      <c r="M124" s="44"/>
    </row>
    <row r="125" spans="1:13" ht="15">
      <c r="A125" s="44"/>
      <c r="B125" s="44"/>
      <c r="C125" s="46" t="s">
        <v>343</v>
      </c>
      <c r="D125" s="46" t="s">
        <v>318</v>
      </c>
      <c r="E125" s="46" t="s">
        <v>344</v>
      </c>
      <c r="F125" s="44"/>
      <c r="G125" s="44"/>
      <c r="H125" s="44"/>
      <c r="I125" s="44"/>
      <c r="J125" s="44"/>
      <c r="K125" s="44"/>
      <c r="L125" s="44"/>
      <c r="M125" s="44"/>
    </row>
    <row r="126" spans="1:13">
      <c r="A126" s="35" t="s">
        <v>629</v>
      </c>
      <c r="B126" s="31" t="s">
        <v>345</v>
      </c>
      <c r="C126" s="31"/>
      <c r="D126" s="31"/>
      <c r="E126" s="31"/>
      <c r="F126" s="44"/>
      <c r="G126" s="44"/>
      <c r="H126" s="44"/>
      <c r="I126" s="44"/>
      <c r="J126" s="44"/>
      <c r="K126" s="44"/>
      <c r="L126" s="44"/>
      <c r="M126" s="44"/>
    </row>
    <row r="127" spans="1:13">
      <c r="A127" s="35" t="s">
        <v>630</v>
      </c>
      <c r="B127" s="31" t="s">
        <v>346</v>
      </c>
      <c r="C127" s="31"/>
      <c r="D127" s="31"/>
      <c r="E127" s="31"/>
      <c r="F127" s="44"/>
      <c r="G127" s="44"/>
      <c r="H127" s="44"/>
      <c r="I127" s="44"/>
      <c r="J127" s="44"/>
      <c r="K127" s="44"/>
      <c r="L127" s="44"/>
      <c r="M127" s="44"/>
    </row>
    <row r="128" spans="1:13">
      <c r="A128" s="35" t="s">
        <v>631</v>
      </c>
      <c r="B128" s="31" t="s">
        <v>347</v>
      </c>
      <c r="C128" s="31"/>
      <c r="D128" s="31"/>
      <c r="E128" s="31"/>
      <c r="F128" s="44"/>
      <c r="G128" s="44"/>
      <c r="H128" s="44"/>
      <c r="I128" s="44"/>
      <c r="J128" s="44"/>
      <c r="K128" s="44"/>
      <c r="L128" s="44"/>
      <c r="M128" s="44"/>
    </row>
    <row r="129" spans="1:13">
      <c r="A129" s="35" t="s">
        <v>632</v>
      </c>
      <c r="B129" s="31" t="s">
        <v>348</v>
      </c>
      <c r="C129" s="31"/>
      <c r="D129" s="31"/>
      <c r="E129" s="31"/>
      <c r="F129" s="44"/>
      <c r="G129" s="44"/>
      <c r="H129" s="44"/>
      <c r="I129" s="44"/>
      <c r="J129" s="44"/>
      <c r="K129" s="44"/>
      <c r="L129" s="44"/>
      <c r="M129" s="44"/>
    </row>
    <row r="130" spans="1:13">
      <c r="A130" s="35" t="s">
        <v>633</v>
      </c>
      <c r="B130" s="31" t="s">
        <v>349</v>
      </c>
      <c r="C130" s="31"/>
      <c r="D130" s="31"/>
      <c r="E130" s="31"/>
      <c r="F130" s="44"/>
      <c r="G130" s="44"/>
      <c r="H130" s="44"/>
      <c r="I130" s="44"/>
      <c r="J130" s="44"/>
      <c r="K130" s="44"/>
      <c r="L130" s="44"/>
      <c r="M130" s="44"/>
    </row>
    <row r="131" spans="1:13">
      <c r="A131" s="35" t="s">
        <v>634</v>
      </c>
      <c r="B131" s="31" t="s">
        <v>350</v>
      </c>
      <c r="C131" s="31"/>
      <c r="D131" s="31"/>
      <c r="E131" s="31"/>
      <c r="F131" s="44"/>
      <c r="G131" s="44"/>
      <c r="H131" s="44"/>
      <c r="I131" s="44"/>
      <c r="J131" s="44"/>
      <c r="K131" s="44"/>
      <c r="L131" s="44"/>
      <c r="M131" s="44"/>
    </row>
    <row r="132" spans="1:13">
      <c r="A132" s="35" t="s">
        <v>635</v>
      </c>
      <c r="B132" s="31" t="s">
        <v>351</v>
      </c>
      <c r="C132" s="31"/>
      <c r="D132" s="31"/>
      <c r="E132" s="31"/>
      <c r="F132" s="44"/>
      <c r="G132" s="44"/>
      <c r="H132" s="44"/>
      <c r="I132" s="44"/>
      <c r="J132" s="44"/>
      <c r="K132" s="44"/>
      <c r="L132" s="44"/>
      <c r="M132" s="44"/>
    </row>
    <row r="133" spans="1:13">
      <c r="A133" s="35" t="s">
        <v>636</v>
      </c>
      <c r="B133" s="31" t="s">
        <v>352</v>
      </c>
      <c r="C133" s="31"/>
      <c r="D133" s="31"/>
      <c r="E133" s="31"/>
      <c r="F133" s="44"/>
      <c r="G133" s="44"/>
      <c r="H133" s="44"/>
      <c r="I133" s="44"/>
      <c r="J133" s="44"/>
      <c r="K133" s="44"/>
      <c r="L133" s="44"/>
      <c r="M133" s="44"/>
    </row>
    <row r="134" spans="1:13">
      <c r="A134" s="35" t="s">
        <v>637</v>
      </c>
      <c r="B134" s="31" t="s">
        <v>353</v>
      </c>
      <c r="C134" s="31"/>
      <c r="D134" s="31"/>
      <c r="E134" s="31"/>
      <c r="F134" s="44"/>
      <c r="G134" s="44"/>
      <c r="H134" s="44"/>
      <c r="I134" s="44"/>
      <c r="J134" s="44"/>
      <c r="K134" s="44"/>
      <c r="L134" s="44"/>
      <c r="M134" s="44"/>
    </row>
    <row r="135" spans="1:13">
      <c r="A135" s="35" t="s">
        <v>638</v>
      </c>
      <c r="B135" s="31" t="s">
        <v>354</v>
      </c>
      <c r="C135" s="31"/>
      <c r="D135" s="31"/>
      <c r="E135" s="31"/>
      <c r="F135" s="44"/>
      <c r="G135" s="44"/>
      <c r="H135" s="44"/>
      <c r="I135" s="44"/>
      <c r="J135" s="44"/>
      <c r="K135" s="44"/>
      <c r="L135" s="44"/>
      <c r="M135" s="44"/>
    </row>
    <row r="136" spans="1:13">
      <c r="A136" s="44"/>
      <c r="B136" s="44"/>
      <c r="C136" s="44"/>
      <c r="D136" s="44"/>
      <c r="E136" s="44"/>
      <c r="F136" s="44"/>
      <c r="G136" s="44"/>
      <c r="H136" s="44"/>
      <c r="I136" s="44"/>
      <c r="J136" s="44"/>
      <c r="K136" s="44"/>
      <c r="L136" s="44"/>
      <c r="M136" s="44"/>
    </row>
    <row r="137" spans="1:13">
      <c r="A137" s="44"/>
      <c r="B137" s="44"/>
      <c r="C137" s="44"/>
      <c r="D137" s="44"/>
      <c r="E137" s="44"/>
      <c r="F137" s="44"/>
      <c r="G137" s="44"/>
      <c r="H137" s="44"/>
      <c r="I137" s="44"/>
      <c r="J137" s="44"/>
      <c r="K137" s="44"/>
      <c r="L137" s="44"/>
      <c r="M137" s="44"/>
    </row>
    <row r="138" spans="1:13">
      <c r="A138" s="44"/>
      <c r="B138" s="44"/>
      <c r="C138" s="44"/>
      <c r="D138" s="44"/>
      <c r="E138" s="44"/>
      <c r="F138" s="44"/>
      <c r="G138" s="44"/>
      <c r="H138" s="44"/>
      <c r="I138" s="44"/>
      <c r="J138" s="44"/>
      <c r="K138" s="44"/>
      <c r="L138" s="44"/>
      <c r="M138" s="44"/>
    </row>
    <row r="139" spans="1:13">
      <c r="A139" s="44"/>
      <c r="B139" s="44"/>
      <c r="C139" s="44"/>
      <c r="D139" s="44"/>
      <c r="E139" s="44"/>
      <c r="F139" s="44"/>
      <c r="G139" s="44"/>
      <c r="H139" s="44"/>
      <c r="I139" s="44"/>
      <c r="J139" s="44"/>
      <c r="K139" s="44"/>
      <c r="L139" s="44"/>
      <c r="M139" s="44"/>
    </row>
    <row r="140" spans="1:13" ht="15">
      <c r="A140" s="44"/>
      <c r="B140" s="46" t="s">
        <v>961</v>
      </c>
      <c r="C140" s="44"/>
      <c r="D140" s="31"/>
      <c r="E140" s="44"/>
      <c r="F140" s="44"/>
      <c r="G140" s="44"/>
      <c r="H140" s="44"/>
      <c r="I140" s="44"/>
      <c r="J140" s="44"/>
      <c r="K140" s="44"/>
      <c r="L140" s="44"/>
      <c r="M140" s="44"/>
    </row>
    <row r="141" spans="1:13">
      <c r="A141" s="44"/>
      <c r="B141" s="44"/>
      <c r="C141" s="44"/>
      <c r="D141" s="44"/>
      <c r="E141" s="44"/>
      <c r="F141" s="44"/>
      <c r="G141" s="44"/>
      <c r="H141" s="44"/>
      <c r="I141" s="44"/>
      <c r="J141" s="44"/>
      <c r="K141" s="44"/>
      <c r="L141" s="44"/>
      <c r="M141" s="44"/>
    </row>
    <row r="142" spans="1:13" ht="15">
      <c r="A142" s="44"/>
      <c r="B142" s="46" t="s">
        <v>355</v>
      </c>
      <c r="C142" s="46" t="s">
        <v>356</v>
      </c>
      <c r="D142" s="46" t="s">
        <v>315</v>
      </c>
      <c r="E142" s="46"/>
      <c r="F142" s="44"/>
      <c r="G142" s="44"/>
      <c r="H142" s="44"/>
      <c r="I142" s="44"/>
      <c r="J142" s="44"/>
      <c r="K142" s="44"/>
      <c r="L142" s="44"/>
      <c r="M142" s="44"/>
    </row>
    <row r="143" spans="1:13">
      <c r="A143" s="35" t="s">
        <v>739</v>
      </c>
      <c r="B143" s="31" t="s">
        <v>357</v>
      </c>
      <c r="C143" s="31"/>
      <c r="D143" s="31"/>
      <c r="E143" s="44"/>
      <c r="F143" s="44"/>
      <c r="G143" s="44"/>
      <c r="H143" s="44"/>
      <c r="I143" s="44"/>
      <c r="J143" s="44"/>
      <c r="K143" s="44"/>
      <c r="L143" s="44"/>
      <c r="M143" s="44"/>
    </row>
    <row r="144" spans="1:13">
      <c r="A144" s="35" t="s">
        <v>740</v>
      </c>
      <c r="B144" s="31" t="s">
        <v>358</v>
      </c>
      <c r="C144" s="31"/>
      <c r="D144" s="31"/>
      <c r="E144" s="44"/>
      <c r="F144" s="44"/>
      <c r="G144" s="44"/>
      <c r="H144" s="44"/>
      <c r="I144" s="44"/>
      <c r="J144" s="44"/>
      <c r="K144" s="44"/>
      <c r="L144" s="44"/>
      <c r="M144" s="44"/>
    </row>
    <row r="145" spans="1:13">
      <c r="A145" s="35" t="s">
        <v>741</v>
      </c>
      <c r="B145" s="31" t="s">
        <v>359</v>
      </c>
      <c r="C145" s="31"/>
      <c r="D145" s="31"/>
      <c r="E145" s="44"/>
      <c r="F145" s="44"/>
      <c r="G145" s="44"/>
      <c r="H145" s="44"/>
      <c r="I145" s="44"/>
      <c r="J145" s="44"/>
      <c r="K145" s="44"/>
      <c r="L145" s="44"/>
      <c r="M145" s="44"/>
    </row>
    <row r="146" spans="1:13">
      <c r="A146" s="44"/>
      <c r="B146" s="44"/>
      <c r="C146" s="44"/>
      <c r="D146" s="44"/>
      <c r="E146" s="44"/>
      <c r="F146" s="44"/>
      <c r="G146" s="44"/>
      <c r="H146" s="44"/>
      <c r="I146" s="44"/>
      <c r="J146" s="44"/>
      <c r="K146" s="44"/>
      <c r="L146" s="44"/>
      <c r="M146" s="44"/>
    </row>
    <row r="147" spans="1:13">
      <c r="A147" s="44"/>
      <c r="B147" s="44"/>
      <c r="C147" s="44"/>
      <c r="D147" s="44"/>
      <c r="E147" s="44"/>
      <c r="F147" s="44"/>
      <c r="G147" s="44"/>
      <c r="H147" s="44"/>
      <c r="I147" s="44"/>
      <c r="J147" s="44"/>
      <c r="K147" s="44"/>
      <c r="L147" s="44"/>
      <c r="M147" s="44"/>
    </row>
    <row r="148" spans="1:13">
      <c r="A148" s="44"/>
      <c r="B148" s="44"/>
      <c r="C148" s="44"/>
      <c r="D148" s="44"/>
      <c r="E148" s="44"/>
      <c r="F148" s="44"/>
      <c r="G148" s="44"/>
      <c r="H148" s="44"/>
      <c r="I148" s="44"/>
      <c r="J148" s="44"/>
      <c r="K148" s="44"/>
      <c r="L148" s="44"/>
      <c r="M148" s="44"/>
    </row>
    <row r="149" spans="1:13" s="47" customFormat="1" ht="15">
      <c r="A149" s="45"/>
      <c r="B149" s="46" t="s">
        <v>360</v>
      </c>
      <c r="C149" s="46" t="s">
        <v>361</v>
      </c>
      <c r="D149" s="46" t="s">
        <v>362</v>
      </c>
      <c r="E149" s="45"/>
      <c r="F149" s="45"/>
      <c r="G149" s="45"/>
      <c r="H149" s="45"/>
      <c r="I149" s="45"/>
      <c r="J149" s="45"/>
      <c r="K149" s="45"/>
      <c r="L149" s="45"/>
      <c r="M149" s="45"/>
    </row>
    <row r="150" spans="1:13">
      <c r="A150" s="35" t="s">
        <v>929</v>
      </c>
      <c r="B150" s="31" t="s">
        <v>363</v>
      </c>
      <c r="C150" s="31"/>
      <c r="D150" s="31"/>
      <c r="E150" s="44"/>
      <c r="F150" s="44"/>
      <c r="G150" s="44"/>
      <c r="H150" s="44"/>
      <c r="I150" s="44"/>
      <c r="J150" s="44"/>
      <c r="K150" s="44"/>
      <c r="L150" s="44"/>
      <c r="M150" s="44"/>
    </row>
    <row r="151" spans="1:13">
      <c r="A151" s="35" t="s">
        <v>930</v>
      </c>
      <c r="B151" s="31" t="s">
        <v>364</v>
      </c>
      <c r="C151" s="31"/>
      <c r="D151" s="31"/>
      <c r="E151" s="44"/>
      <c r="F151" s="44"/>
      <c r="G151" s="44"/>
      <c r="H151" s="44"/>
      <c r="I151" s="44"/>
      <c r="J151" s="44"/>
      <c r="K151" s="44"/>
      <c r="L151" s="44"/>
      <c r="M151" s="44"/>
    </row>
    <row r="152" spans="1:13">
      <c r="A152" s="35" t="s">
        <v>931</v>
      </c>
      <c r="B152" s="31" t="s">
        <v>347</v>
      </c>
      <c r="C152" s="31"/>
      <c r="D152" s="31"/>
      <c r="E152" s="44"/>
      <c r="F152" s="44"/>
      <c r="G152" s="44"/>
      <c r="H152" s="44"/>
      <c r="I152" s="44"/>
      <c r="J152" s="44"/>
      <c r="K152" s="44"/>
      <c r="L152" s="44"/>
      <c r="M152" s="44"/>
    </row>
    <row r="153" spans="1:13">
      <c r="A153" s="35" t="s">
        <v>932</v>
      </c>
      <c r="B153" s="31" t="s">
        <v>348</v>
      </c>
      <c r="C153" s="31"/>
      <c r="D153" s="31"/>
      <c r="E153" s="44"/>
      <c r="F153" s="44"/>
      <c r="G153" s="44"/>
      <c r="H153" s="44"/>
      <c r="I153" s="44"/>
      <c r="J153" s="44"/>
      <c r="K153" s="44"/>
      <c r="L153" s="44"/>
      <c r="M153" s="44"/>
    </row>
    <row r="154" spans="1:13">
      <c r="A154" s="35" t="s">
        <v>933</v>
      </c>
      <c r="B154" s="31" t="s">
        <v>349</v>
      </c>
      <c r="C154" s="31"/>
      <c r="D154" s="31"/>
      <c r="E154" s="44"/>
      <c r="F154" s="44"/>
      <c r="G154" s="44"/>
      <c r="H154" s="44"/>
      <c r="I154" s="44"/>
      <c r="J154" s="44"/>
      <c r="K154" s="44"/>
      <c r="L154" s="44"/>
      <c r="M154" s="44"/>
    </row>
    <row r="155" spans="1:13">
      <c r="A155" s="35" t="s">
        <v>934</v>
      </c>
      <c r="B155" s="31" t="s">
        <v>350</v>
      </c>
      <c r="C155" s="31"/>
      <c r="D155" s="31"/>
      <c r="E155" s="44"/>
      <c r="F155" s="44"/>
      <c r="G155" s="44"/>
      <c r="H155" s="44"/>
      <c r="I155" s="44"/>
      <c r="J155" s="44"/>
      <c r="K155" s="44"/>
      <c r="L155" s="44"/>
      <c r="M155" s="44"/>
    </row>
    <row r="156" spans="1:13">
      <c r="A156" s="35" t="s">
        <v>935</v>
      </c>
      <c r="B156" s="31" t="s">
        <v>351</v>
      </c>
      <c r="C156" s="31"/>
      <c r="D156" s="31"/>
      <c r="E156" s="44"/>
      <c r="F156" s="44"/>
      <c r="G156" s="44"/>
      <c r="H156" s="44"/>
      <c r="I156" s="44"/>
      <c r="J156" s="44"/>
      <c r="K156" s="44"/>
      <c r="L156" s="44"/>
      <c r="M156" s="44"/>
    </row>
    <row r="157" spans="1:13">
      <c r="A157" s="35" t="s">
        <v>936</v>
      </c>
      <c r="B157" s="31" t="s">
        <v>352</v>
      </c>
      <c r="C157" s="31"/>
      <c r="D157" s="31"/>
      <c r="E157" s="44"/>
      <c r="F157" s="44"/>
      <c r="G157" s="44"/>
      <c r="H157" s="44"/>
      <c r="I157" s="44"/>
      <c r="J157" s="44"/>
      <c r="K157" s="44"/>
      <c r="L157" s="44"/>
      <c r="M157" s="44"/>
    </row>
    <row r="158" spans="1:13">
      <c r="A158" s="35" t="s">
        <v>937</v>
      </c>
      <c r="B158" s="31" t="s">
        <v>353</v>
      </c>
      <c r="C158" s="31"/>
      <c r="D158" s="31"/>
      <c r="E158" s="44"/>
      <c r="F158" s="44"/>
      <c r="G158" s="44"/>
      <c r="H158" s="44"/>
      <c r="I158" s="44"/>
      <c r="J158" s="44"/>
      <c r="K158" s="44"/>
      <c r="L158" s="44"/>
      <c r="M158" s="44"/>
    </row>
    <row r="159" spans="1:13">
      <c r="A159" s="35" t="s">
        <v>938</v>
      </c>
      <c r="B159" s="31" t="s">
        <v>354</v>
      </c>
      <c r="C159" s="31"/>
      <c r="D159" s="31"/>
      <c r="E159" s="44"/>
      <c r="F159" s="44"/>
      <c r="G159" s="44"/>
      <c r="H159" s="44"/>
      <c r="I159" s="44"/>
      <c r="J159" s="44"/>
      <c r="K159" s="44"/>
      <c r="L159" s="44"/>
      <c r="M159" s="44"/>
    </row>
    <row r="160" spans="1:13">
      <c r="A160" s="44"/>
      <c r="B160" s="44"/>
      <c r="C160" s="44"/>
      <c r="D160" s="44"/>
      <c r="E160" s="44"/>
      <c r="F160" s="44"/>
      <c r="G160" s="44"/>
      <c r="H160" s="44"/>
      <c r="I160" s="44"/>
      <c r="J160" s="44"/>
      <c r="K160" s="44"/>
      <c r="L160" s="44"/>
      <c r="M160" s="44"/>
    </row>
    <row r="161" spans="1:13">
      <c r="A161" s="44"/>
      <c r="B161" s="44"/>
      <c r="C161" s="44"/>
      <c r="D161" s="44"/>
      <c r="E161" s="44"/>
      <c r="F161" s="44"/>
      <c r="G161" s="44"/>
      <c r="H161" s="44"/>
      <c r="I161" s="44"/>
      <c r="J161" s="44"/>
      <c r="K161" s="44"/>
      <c r="L161" s="44"/>
      <c r="M161" s="44"/>
    </row>
    <row r="162" spans="1:13">
      <c r="A162" s="44"/>
      <c r="B162" s="44"/>
      <c r="C162" s="44"/>
      <c r="D162" s="44"/>
      <c r="E162" s="44"/>
      <c r="F162" s="44"/>
      <c r="G162" s="44"/>
      <c r="H162" s="44"/>
      <c r="I162" s="44"/>
      <c r="J162" s="44"/>
      <c r="K162" s="44"/>
      <c r="L162" s="44"/>
      <c r="M162" s="44"/>
    </row>
    <row r="163" spans="1:13">
      <c r="A163" s="44"/>
      <c r="B163" s="44"/>
      <c r="C163" s="44"/>
      <c r="D163" s="44"/>
      <c r="E163" s="44"/>
      <c r="F163" s="44"/>
      <c r="G163" s="44"/>
      <c r="H163" s="44"/>
      <c r="I163" s="44"/>
      <c r="J163" s="44"/>
      <c r="K163" s="44"/>
      <c r="L163" s="44"/>
      <c r="M163" s="44"/>
    </row>
    <row r="164" spans="1:13" ht="15">
      <c r="A164" s="44" t="s">
        <v>980</v>
      </c>
      <c r="B164" s="46" t="s">
        <v>962</v>
      </c>
      <c r="C164" s="31"/>
      <c r="D164" s="44"/>
      <c r="E164" s="44"/>
      <c r="F164" s="44"/>
      <c r="G164" s="44"/>
      <c r="H164" s="44"/>
      <c r="I164" s="44"/>
      <c r="J164" s="44"/>
      <c r="K164" s="44"/>
      <c r="L164" s="44"/>
      <c r="M164" s="44"/>
    </row>
    <row r="165" spans="1:13" ht="15">
      <c r="A165" s="44"/>
      <c r="B165" s="44"/>
      <c r="C165" s="46" t="s">
        <v>979</v>
      </c>
      <c r="D165" s="44"/>
      <c r="E165" s="44"/>
      <c r="F165" s="44"/>
      <c r="G165" s="44"/>
      <c r="H165" s="44"/>
      <c r="I165" s="44"/>
      <c r="J165" s="44"/>
      <c r="K165" s="44"/>
      <c r="L165" s="44"/>
      <c r="M165" s="44"/>
    </row>
    <row r="166" spans="1:13" ht="15">
      <c r="A166" s="44" t="s">
        <v>981</v>
      </c>
      <c r="B166" s="46" t="s">
        <v>963</v>
      </c>
      <c r="C166" s="31"/>
      <c r="D166" s="44"/>
      <c r="E166" s="44"/>
      <c r="F166" s="44"/>
      <c r="G166" s="44"/>
      <c r="H166" s="44"/>
      <c r="I166" s="44"/>
      <c r="J166" s="44"/>
      <c r="K166" s="44"/>
      <c r="L166" s="44"/>
      <c r="M166" s="44"/>
    </row>
    <row r="167" spans="1:13">
      <c r="A167" s="44"/>
      <c r="B167" s="44"/>
      <c r="C167" s="44"/>
      <c r="D167" s="44"/>
      <c r="E167" s="44"/>
      <c r="F167" s="44"/>
      <c r="G167" s="44"/>
      <c r="H167" s="44"/>
      <c r="I167" s="44"/>
      <c r="J167" s="44"/>
      <c r="K167" s="44"/>
      <c r="L167" s="44"/>
      <c r="M167" s="44"/>
    </row>
    <row r="168" spans="1:13">
      <c r="A168" s="44"/>
      <c r="B168" s="44"/>
      <c r="C168" s="44"/>
      <c r="D168" s="44"/>
      <c r="E168" s="44"/>
      <c r="F168" s="44"/>
      <c r="G168" s="44"/>
      <c r="H168" s="44"/>
      <c r="I168" s="44"/>
      <c r="J168" s="44"/>
      <c r="K168" s="44"/>
      <c r="L168" s="44"/>
      <c r="M168" s="44"/>
    </row>
    <row r="169" spans="1:13">
      <c r="A169" s="44"/>
      <c r="B169" s="44"/>
      <c r="C169" s="44"/>
      <c r="D169" s="44"/>
      <c r="E169" s="44"/>
      <c r="F169" s="44"/>
      <c r="G169" s="44"/>
      <c r="H169" s="44"/>
      <c r="I169" s="44"/>
      <c r="J169" s="44"/>
      <c r="K169" s="44"/>
      <c r="L169" s="44"/>
      <c r="M169" s="44"/>
    </row>
    <row r="170" spans="1:13" ht="15">
      <c r="A170" s="44"/>
      <c r="B170" s="46"/>
      <c r="C170" s="46"/>
      <c r="D170" s="46"/>
      <c r="E170" s="44"/>
      <c r="F170" s="44"/>
      <c r="G170" s="44"/>
      <c r="H170" s="44"/>
      <c r="I170" s="44"/>
      <c r="J170" s="44"/>
      <c r="K170" s="44"/>
      <c r="L170" s="44"/>
      <c r="M170" s="44"/>
    </row>
    <row r="171" spans="1:13" ht="30">
      <c r="A171" s="48" t="s">
        <v>982</v>
      </c>
      <c r="B171" s="49" t="s">
        <v>969</v>
      </c>
      <c r="C171" s="31"/>
      <c r="D171" s="44"/>
      <c r="E171" s="44"/>
      <c r="F171" s="44"/>
      <c r="G171" s="44"/>
      <c r="H171" s="44"/>
      <c r="I171" s="44"/>
      <c r="J171" s="44"/>
      <c r="K171" s="44"/>
      <c r="L171" s="44"/>
      <c r="M171" s="44"/>
    </row>
    <row r="172" spans="1:13" ht="30">
      <c r="A172" s="48" t="s">
        <v>983</v>
      </c>
      <c r="B172" s="49" t="s">
        <v>968</v>
      </c>
      <c r="C172" s="31"/>
      <c r="D172" s="44"/>
      <c r="E172" s="44"/>
      <c r="F172" s="44"/>
      <c r="G172" s="44"/>
      <c r="H172" s="44"/>
      <c r="I172" s="44"/>
      <c r="J172" s="44"/>
      <c r="K172" s="44"/>
      <c r="L172" s="44"/>
      <c r="M172" s="44"/>
    </row>
    <row r="173" spans="1:13">
      <c r="A173" s="44"/>
      <c r="B173" s="44"/>
      <c r="C173" s="44"/>
      <c r="D173" s="44"/>
      <c r="E173" s="44"/>
      <c r="F173" s="44"/>
      <c r="G173" s="44"/>
      <c r="H173" s="44"/>
      <c r="I173" s="44"/>
      <c r="J173" s="44"/>
      <c r="K173" s="44"/>
      <c r="L173" s="44"/>
      <c r="M173" s="44"/>
    </row>
    <row r="174" spans="1:13">
      <c r="A174" s="44"/>
      <c r="B174" s="44"/>
      <c r="C174" s="44"/>
      <c r="D174" s="44"/>
      <c r="E174" s="44"/>
      <c r="F174" s="44"/>
      <c r="G174" s="44"/>
      <c r="H174" s="44"/>
      <c r="I174" s="44"/>
      <c r="J174" s="44"/>
      <c r="K174" s="44"/>
      <c r="L174" s="44"/>
      <c r="M174" s="44"/>
    </row>
    <row r="175" spans="1:13">
      <c r="A175" s="44"/>
      <c r="B175" s="44"/>
      <c r="C175" s="44"/>
      <c r="D175" s="44"/>
      <c r="E175" s="44"/>
      <c r="F175" s="44"/>
      <c r="G175" s="44"/>
      <c r="H175" s="44"/>
      <c r="I175" s="44"/>
      <c r="J175" s="44"/>
      <c r="K175" s="44"/>
      <c r="L175" s="44"/>
      <c r="M175" s="44"/>
    </row>
    <row r="176" spans="1:13">
      <c r="A176" s="44"/>
      <c r="B176" s="44"/>
      <c r="C176" s="44"/>
      <c r="D176" s="44"/>
      <c r="E176" s="44"/>
      <c r="F176" s="44"/>
      <c r="G176" s="44"/>
      <c r="H176" s="44"/>
      <c r="I176" s="44"/>
      <c r="J176" s="44"/>
      <c r="K176" s="44"/>
      <c r="L176" s="44"/>
      <c r="M176" s="44"/>
    </row>
    <row r="177" spans="1:13" ht="15">
      <c r="A177" s="44"/>
      <c r="B177" s="46"/>
      <c r="C177" s="46"/>
      <c r="D177" s="46"/>
      <c r="E177" s="44"/>
      <c r="F177" s="44"/>
      <c r="G177" s="44"/>
      <c r="H177" s="44"/>
      <c r="I177" s="44"/>
      <c r="J177" s="44"/>
      <c r="K177" s="44"/>
      <c r="L177" s="44"/>
      <c r="M177" s="44"/>
    </row>
    <row r="178" spans="1:13" ht="30">
      <c r="A178" s="50" t="s">
        <v>984</v>
      </c>
      <c r="B178" s="51" t="s">
        <v>365</v>
      </c>
      <c r="C178" s="31"/>
      <c r="D178" s="44"/>
      <c r="E178" s="44"/>
      <c r="F178" s="44"/>
      <c r="G178" s="44"/>
      <c r="H178" s="44"/>
      <c r="I178" s="44"/>
      <c r="J178" s="44"/>
      <c r="K178" s="44"/>
      <c r="L178" s="44"/>
      <c r="M178" s="44"/>
    </row>
    <row r="179" spans="1:13" ht="15">
      <c r="A179" s="50" t="s">
        <v>985</v>
      </c>
      <c r="B179" s="51" t="s">
        <v>960</v>
      </c>
      <c r="C179" s="31"/>
      <c r="D179" s="44"/>
      <c r="E179" s="44"/>
      <c r="F179" s="44"/>
      <c r="G179" s="44"/>
      <c r="H179" s="44"/>
      <c r="I179" s="44"/>
      <c r="J179" s="44"/>
      <c r="K179" s="44"/>
      <c r="L179" s="44"/>
      <c r="M179" s="44"/>
    </row>
    <row r="180" spans="1:13" ht="45">
      <c r="A180" s="50" t="s">
        <v>986</v>
      </c>
      <c r="B180" s="51" t="s">
        <v>965</v>
      </c>
      <c r="C180" s="31"/>
      <c r="D180" s="44"/>
      <c r="E180" s="44"/>
      <c r="F180" s="44"/>
      <c r="G180" s="44"/>
      <c r="H180" s="44"/>
      <c r="I180" s="44"/>
      <c r="J180" s="44"/>
      <c r="K180" s="44"/>
      <c r="L180" s="44"/>
      <c r="M180" s="44"/>
    </row>
    <row r="181" spans="1:13" ht="30">
      <c r="A181" s="50" t="s">
        <v>987</v>
      </c>
      <c r="B181" s="52" t="s">
        <v>970</v>
      </c>
      <c r="C181" s="31"/>
      <c r="D181" s="44"/>
      <c r="E181" s="44"/>
      <c r="F181" s="44"/>
      <c r="G181" s="44"/>
      <c r="H181" s="44"/>
      <c r="I181" s="44"/>
      <c r="J181" s="44"/>
      <c r="K181" s="44"/>
      <c r="L181" s="44"/>
      <c r="M181" s="44"/>
    </row>
    <row r="182" spans="1:13" ht="30">
      <c r="A182" s="50" t="s">
        <v>988</v>
      </c>
      <c r="B182" s="51" t="s">
        <v>966</v>
      </c>
      <c r="C182" s="31"/>
      <c r="D182" s="44"/>
      <c r="E182" s="44"/>
      <c r="F182" s="44"/>
      <c r="G182" s="44"/>
      <c r="H182" s="44"/>
      <c r="I182" s="44"/>
      <c r="J182" s="44"/>
      <c r="K182" s="44"/>
      <c r="L182" s="44"/>
      <c r="M182" s="44"/>
    </row>
    <row r="183" spans="1:13" ht="30">
      <c r="A183" s="50" t="s">
        <v>989</v>
      </c>
      <c r="B183" s="51" t="s">
        <v>967</v>
      </c>
      <c r="C183" s="31"/>
      <c r="D183" s="44"/>
      <c r="E183" s="44"/>
      <c r="F183" s="44"/>
      <c r="G183" s="44"/>
      <c r="H183" s="44"/>
      <c r="I183" s="44"/>
      <c r="J183" s="44"/>
      <c r="K183" s="44"/>
      <c r="L183" s="44"/>
      <c r="M183" s="44"/>
    </row>
    <row r="184" spans="1:13">
      <c r="A184" s="44"/>
      <c r="B184" s="44"/>
      <c r="C184" s="44"/>
      <c r="D184" s="44"/>
      <c r="E184" s="44"/>
      <c r="F184" s="44"/>
      <c r="G184" s="44"/>
      <c r="H184" s="44"/>
      <c r="I184" s="44"/>
      <c r="J184" s="44"/>
      <c r="K184" s="44"/>
      <c r="L184" s="44"/>
      <c r="M184" s="44"/>
    </row>
    <row r="185" spans="1:13">
      <c r="A185" s="44"/>
      <c r="B185" s="44"/>
      <c r="C185" s="44"/>
      <c r="D185" s="44"/>
      <c r="E185" s="44"/>
      <c r="F185" s="44"/>
      <c r="G185" s="44"/>
      <c r="H185" s="44"/>
      <c r="I185" s="44"/>
      <c r="J185" s="44"/>
      <c r="K185" s="44"/>
      <c r="L185" s="44"/>
      <c r="M185" s="44"/>
    </row>
    <row r="186" spans="1:13">
      <c r="A186" s="44"/>
      <c r="B186" s="44"/>
      <c r="C186" s="44"/>
      <c r="D186" s="44"/>
      <c r="E186" s="44"/>
      <c r="F186" s="44"/>
      <c r="G186" s="44"/>
      <c r="H186" s="44"/>
      <c r="I186" s="44"/>
      <c r="J186" s="44"/>
      <c r="K186" s="44"/>
      <c r="L186" s="44"/>
      <c r="M186" s="44"/>
    </row>
    <row r="187" spans="1:13">
      <c r="A187" s="44"/>
      <c r="B187" s="44"/>
      <c r="C187" s="44"/>
      <c r="D187" s="44"/>
      <c r="E187" s="44"/>
      <c r="F187" s="44"/>
      <c r="G187" s="44"/>
      <c r="H187" s="44"/>
      <c r="I187" s="44"/>
      <c r="J187" s="44"/>
      <c r="K187" s="44"/>
      <c r="L187" s="44"/>
      <c r="M187" s="44"/>
    </row>
    <row r="188" spans="1:13">
      <c r="A188" s="44"/>
      <c r="B188" s="44"/>
      <c r="C188" s="44"/>
      <c r="D188" s="44"/>
      <c r="E188" s="44"/>
      <c r="F188" s="44"/>
      <c r="G188" s="44"/>
      <c r="H188" s="44"/>
      <c r="I188" s="44"/>
      <c r="J188" s="44"/>
      <c r="K188" s="44"/>
      <c r="L188" s="44"/>
      <c r="M188" s="44"/>
    </row>
    <row r="189" spans="1:13" ht="30">
      <c r="A189" s="44"/>
      <c r="B189" s="53" t="s">
        <v>1108</v>
      </c>
      <c r="C189" s="53"/>
      <c r="D189" s="31"/>
      <c r="E189" s="44"/>
      <c r="F189" s="44"/>
      <c r="G189" s="44"/>
      <c r="H189" s="44"/>
      <c r="I189" s="44"/>
      <c r="J189" s="44"/>
      <c r="K189" s="44"/>
      <c r="L189" s="44"/>
      <c r="M189" s="44"/>
    </row>
    <row r="190" spans="1:13">
      <c r="A190" s="44"/>
      <c r="B190" s="44"/>
      <c r="C190" s="44"/>
      <c r="D190" s="44"/>
      <c r="E190" s="44"/>
      <c r="F190" s="44"/>
      <c r="G190" s="44"/>
      <c r="H190" s="44"/>
      <c r="I190" s="44"/>
      <c r="J190" s="44"/>
      <c r="K190" s="44"/>
      <c r="L190" s="44"/>
      <c r="M190" s="44"/>
    </row>
    <row r="191" spans="1:13" ht="15">
      <c r="A191" s="44"/>
      <c r="B191" s="46" t="s">
        <v>1107</v>
      </c>
      <c r="C191" s="46" t="s">
        <v>356</v>
      </c>
      <c r="D191" s="44"/>
      <c r="E191" s="44" t="s">
        <v>1140</v>
      </c>
      <c r="F191" s="44"/>
      <c r="G191" s="44"/>
      <c r="H191" s="44"/>
      <c r="I191" s="44"/>
      <c r="J191" s="44"/>
      <c r="K191" s="44"/>
      <c r="L191" s="44"/>
      <c r="M191" s="44"/>
    </row>
    <row r="192" spans="1:13">
      <c r="A192" s="35" t="s">
        <v>990</v>
      </c>
      <c r="B192" s="31" t="s">
        <v>345</v>
      </c>
      <c r="C192" s="31"/>
      <c r="D192" s="44"/>
      <c r="E192" s="44"/>
      <c r="F192" s="44"/>
      <c r="G192" s="44"/>
      <c r="H192" s="44"/>
      <c r="I192" s="44"/>
      <c r="J192" s="44"/>
      <c r="K192" s="44"/>
      <c r="L192" s="44"/>
      <c r="M192" s="44"/>
    </row>
    <row r="193" spans="1:13">
      <c r="A193" s="35" t="s">
        <v>991</v>
      </c>
      <c r="B193" s="31" t="s">
        <v>346</v>
      </c>
      <c r="C193" s="31"/>
      <c r="D193" s="44"/>
      <c r="E193" s="44"/>
      <c r="F193" s="44"/>
      <c r="G193" s="44"/>
      <c r="H193" s="44"/>
      <c r="I193" s="44"/>
      <c r="J193" s="44"/>
      <c r="K193" s="44"/>
      <c r="L193" s="44"/>
      <c r="M193" s="44"/>
    </row>
    <row r="194" spans="1:13">
      <c r="A194" s="35" t="s">
        <v>992</v>
      </c>
      <c r="B194" s="31" t="s">
        <v>347</v>
      </c>
      <c r="C194" s="31"/>
      <c r="D194" s="44"/>
      <c r="E194" s="44"/>
      <c r="F194" s="44"/>
      <c r="G194" s="44"/>
      <c r="H194" s="44"/>
      <c r="I194" s="44"/>
      <c r="J194" s="44"/>
      <c r="K194" s="44"/>
      <c r="L194" s="44"/>
      <c r="M194" s="44"/>
    </row>
    <row r="195" spans="1:13">
      <c r="A195" s="44"/>
      <c r="B195" s="44"/>
      <c r="C195" s="44"/>
      <c r="D195" s="44"/>
      <c r="E195" s="44"/>
      <c r="F195" s="44"/>
      <c r="G195" s="44"/>
      <c r="H195" s="44"/>
      <c r="I195" s="44"/>
      <c r="J195" s="44"/>
      <c r="K195" s="44"/>
      <c r="L195" s="44"/>
      <c r="M195" s="44"/>
    </row>
    <row r="196" spans="1:13">
      <c r="A196" s="44"/>
      <c r="B196" s="44"/>
      <c r="C196" s="44"/>
      <c r="D196" s="44"/>
      <c r="E196" s="44"/>
      <c r="F196" s="44"/>
      <c r="G196" s="44"/>
      <c r="H196" s="44"/>
      <c r="I196" s="44"/>
      <c r="J196" s="44"/>
      <c r="K196" s="44"/>
      <c r="L196" s="44"/>
      <c r="M196" s="44"/>
    </row>
    <row r="197" spans="1:13">
      <c r="A197" s="54"/>
      <c r="B197" s="54"/>
      <c r="C197" s="54"/>
      <c r="D197" s="54"/>
      <c r="E197" s="54"/>
      <c r="F197" s="54"/>
      <c r="G197" s="54"/>
      <c r="H197" s="54"/>
      <c r="I197" s="54"/>
      <c r="J197" s="54"/>
      <c r="K197" s="54"/>
      <c r="L197" s="54"/>
      <c r="M197" s="54"/>
    </row>
    <row r="198" spans="1:13">
      <c r="A198" s="54"/>
      <c r="B198" s="54"/>
      <c r="C198" s="54"/>
      <c r="D198" s="54"/>
      <c r="E198" s="54"/>
      <c r="F198" s="54"/>
      <c r="G198" s="54"/>
      <c r="H198" s="54"/>
      <c r="I198" s="54"/>
      <c r="J198" s="54"/>
      <c r="K198" s="54"/>
      <c r="L198" s="54"/>
      <c r="M198" s="54"/>
    </row>
    <row r="199" spans="1:13">
      <c r="A199" s="54"/>
      <c r="B199" s="54"/>
      <c r="C199" s="54"/>
      <c r="D199" s="54"/>
      <c r="E199" s="54"/>
      <c r="F199" s="54"/>
      <c r="G199" s="54"/>
      <c r="H199" s="54"/>
      <c r="I199" s="54"/>
      <c r="J199" s="54"/>
      <c r="K199" s="54"/>
      <c r="L199" s="54"/>
      <c r="M199" s="54"/>
    </row>
    <row r="200" spans="1:13">
      <c r="A200" s="54"/>
      <c r="B200" s="54"/>
      <c r="C200" s="54"/>
      <c r="D200" s="54"/>
      <c r="E200" s="54"/>
      <c r="F200" s="54"/>
      <c r="G200" s="54"/>
      <c r="H200" s="54"/>
      <c r="I200" s="54"/>
      <c r="J200" s="54"/>
      <c r="K200" s="54"/>
      <c r="L200" s="54"/>
      <c r="M200" s="54"/>
    </row>
    <row r="201" spans="1:13">
      <c r="A201" s="54"/>
      <c r="B201" s="54"/>
      <c r="C201" s="54"/>
      <c r="D201" s="54"/>
      <c r="E201" s="54"/>
      <c r="F201" s="54"/>
      <c r="G201" s="54"/>
      <c r="H201" s="54"/>
      <c r="I201" s="54"/>
      <c r="J201" s="54"/>
      <c r="K201" s="54"/>
      <c r="L201" s="54"/>
      <c r="M201" s="54"/>
    </row>
    <row r="202" spans="1:13">
      <c r="A202" s="54"/>
      <c r="B202" s="54"/>
      <c r="C202" s="54"/>
      <c r="D202" s="54"/>
      <c r="E202" s="54"/>
      <c r="F202" s="54"/>
      <c r="G202" s="54"/>
      <c r="H202" s="54"/>
      <c r="I202" s="54"/>
      <c r="J202" s="54"/>
      <c r="K202" s="54"/>
      <c r="L202" s="54"/>
      <c r="M202" s="54"/>
    </row>
    <row r="203" spans="1:13">
      <c r="A203" s="54"/>
      <c r="B203" s="54"/>
      <c r="C203" s="54"/>
      <c r="D203" s="54"/>
      <c r="E203" s="54"/>
      <c r="F203" s="54"/>
      <c r="G203" s="54"/>
      <c r="H203" s="54"/>
      <c r="I203" s="54"/>
      <c r="J203" s="54"/>
      <c r="K203" s="54"/>
      <c r="L203" s="54"/>
      <c r="M203" s="54"/>
    </row>
    <row r="204" spans="1:13" ht="15">
      <c r="A204" s="54"/>
      <c r="B204" s="54"/>
      <c r="C204" s="55" t="s">
        <v>976</v>
      </c>
      <c r="D204" s="54"/>
      <c r="E204" s="54"/>
      <c r="F204" s="54"/>
      <c r="G204" s="54"/>
      <c r="H204" s="54"/>
      <c r="I204" s="54"/>
      <c r="J204" s="54"/>
      <c r="K204" s="54"/>
      <c r="L204" s="54"/>
      <c r="M204" s="54"/>
    </row>
    <row r="205" spans="1:13" ht="15">
      <c r="A205" s="54" t="s">
        <v>1109</v>
      </c>
      <c r="B205" s="55" t="s">
        <v>971</v>
      </c>
      <c r="C205" s="31"/>
      <c r="D205" s="54"/>
      <c r="E205" s="54"/>
      <c r="F205" s="54"/>
      <c r="G205" s="54"/>
      <c r="H205" s="54"/>
      <c r="I205" s="54"/>
      <c r="J205" s="54"/>
      <c r="K205" s="54"/>
      <c r="L205" s="54"/>
      <c r="M205" s="54"/>
    </row>
    <row r="206" spans="1:13" ht="15">
      <c r="A206" s="54" t="s">
        <v>1110</v>
      </c>
      <c r="B206" s="55" t="s">
        <v>972</v>
      </c>
      <c r="C206" s="31"/>
      <c r="D206" s="54"/>
      <c r="E206" s="54"/>
      <c r="F206" s="54"/>
      <c r="G206" s="54"/>
      <c r="H206" s="54"/>
      <c r="I206" s="54"/>
      <c r="J206" s="54"/>
      <c r="K206" s="54"/>
      <c r="L206" s="54"/>
      <c r="M206" s="54"/>
    </row>
    <row r="207" spans="1:13" ht="15">
      <c r="A207" s="54" t="s">
        <v>1111</v>
      </c>
      <c r="B207" s="55" t="s">
        <v>973</v>
      </c>
      <c r="C207" s="31"/>
      <c r="D207" s="54"/>
      <c r="E207" s="54"/>
      <c r="F207" s="54"/>
      <c r="G207" s="54"/>
      <c r="H207" s="54"/>
      <c r="I207" s="54"/>
      <c r="J207" s="54"/>
      <c r="K207" s="54"/>
      <c r="L207" s="54"/>
      <c r="M207" s="54"/>
    </row>
    <row r="208" spans="1:13" ht="15">
      <c r="A208" s="54"/>
      <c r="B208" s="54"/>
      <c r="C208" s="55" t="s">
        <v>978</v>
      </c>
      <c r="D208" s="54"/>
      <c r="E208" s="54"/>
      <c r="F208" s="54"/>
      <c r="G208" s="54"/>
      <c r="H208" s="54"/>
      <c r="I208" s="54"/>
      <c r="J208" s="54"/>
      <c r="K208" s="54"/>
      <c r="L208" s="54"/>
      <c r="M208" s="54"/>
    </row>
    <row r="209" spans="1:13" ht="15">
      <c r="A209" s="54" t="s">
        <v>1112</v>
      </c>
      <c r="B209" s="55" t="s">
        <v>974</v>
      </c>
      <c r="C209" s="31"/>
      <c r="D209" s="54"/>
      <c r="E209" s="54"/>
      <c r="F209" s="54"/>
      <c r="G209" s="54"/>
      <c r="H209" s="54"/>
      <c r="I209" s="54"/>
      <c r="J209" s="54"/>
      <c r="K209" s="54"/>
      <c r="L209" s="54"/>
      <c r="M209" s="54"/>
    </row>
    <row r="210" spans="1:13" ht="15">
      <c r="A210" s="54" t="s">
        <v>1113</v>
      </c>
      <c r="B210" s="55" t="s">
        <v>975</v>
      </c>
      <c r="C210" s="36"/>
      <c r="D210" s="54"/>
      <c r="E210" s="54"/>
      <c r="F210" s="54"/>
      <c r="G210" s="54"/>
      <c r="H210" s="54"/>
      <c r="I210" s="54"/>
      <c r="J210" s="54"/>
      <c r="K210" s="54"/>
      <c r="L210" s="54"/>
      <c r="M210" s="54"/>
    </row>
    <row r="211" spans="1:13">
      <c r="A211" s="54"/>
      <c r="B211" s="54"/>
      <c r="C211" s="54"/>
      <c r="D211" s="54"/>
      <c r="E211" s="54"/>
      <c r="F211" s="54"/>
      <c r="G211" s="54"/>
      <c r="H211" s="54"/>
      <c r="I211" s="54"/>
      <c r="J211" s="54"/>
      <c r="K211" s="54"/>
      <c r="L211" s="54"/>
      <c r="M211" s="54"/>
    </row>
    <row r="212" spans="1:13">
      <c r="A212" s="54"/>
      <c r="B212" s="54"/>
      <c r="C212" s="54"/>
      <c r="D212" s="54"/>
      <c r="E212" s="54"/>
      <c r="F212" s="54"/>
      <c r="G212" s="54"/>
      <c r="H212" s="54"/>
      <c r="I212" s="54"/>
      <c r="J212" s="54"/>
      <c r="K212" s="54"/>
      <c r="L212" s="54"/>
      <c r="M212" s="54"/>
    </row>
    <row r="213" spans="1:13">
      <c r="A213" s="54"/>
      <c r="B213" s="54"/>
      <c r="C213" s="54"/>
      <c r="D213" s="54"/>
      <c r="E213" s="54"/>
      <c r="F213" s="54"/>
      <c r="G213" s="54"/>
      <c r="H213" s="54"/>
      <c r="I213" s="54"/>
      <c r="J213" s="54"/>
      <c r="K213" s="54"/>
      <c r="L213" s="54"/>
      <c r="M213" s="54"/>
    </row>
    <row r="214" spans="1:13">
      <c r="A214" s="54"/>
      <c r="B214" s="54"/>
      <c r="C214" s="54"/>
      <c r="D214" s="54"/>
      <c r="E214" s="54"/>
      <c r="F214" s="54"/>
      <c r="G214" s="54"/>
      <c r="H214" s="54"/>
      <c r="I214" s="54"/>
      <c r="J214" s="54"/>
      <c r="K214" s="54"/>
      <c r="L214" s="54"/>
      <c r="M214" s="54"/>
    </row>
    <row r="215" spans="1:13">
      <c r="A215" s="54"/>
      <c r="B215" s="54"/>
      <c r="C215" s="54"/>
      <c r="D215" s="54"/>
      <c r="E215" s="54"/>
      <c r="F215" s="54"/>
      <c r="G215" s="54"/>
      <c r="H215" s="54"/>
      <c r="I215" s="54"/>
      <c r="J215" s="54"/>
      <c r="K215" s="54"/>
      <c r="L215" s="54"/>
      <c r="M215" s="54"/>
    </row>
    <row r="216" spans="1:13">
      <c r="A216" s="54"/>
      <c r="B216" s="54"/>
      <c r="C216" s="54"/>
      <c r="D216" s="54"/>
      <c r="E216" s="54"/>
      <c r="F216" s="54"/>
      <c r="G216" s="54"/>
      <c r="H216" s="54"/>
      <c r="I216" s="54"/>
      <c r="J216" s="54"/>
      <c r="K216" s="54"/>
      <c r="L216" s="54"/>
      <c r="M216" s="54"/>
    </row>
    <row r="217" spans="1:13">
      <c r="A217" s="54"/>
      <c r="B217" s="54"/>
      <c r="C217" s="54"/>
      <c r="D217" s="54"/>
      <c r="E217" s="54"/>
      <c r="F217" s="54"/>
      <c r="G217" s="54"/>
      <c r="H217" s="54"/>
      <c r="I217" s="54"/>
      <c r="J217" s="54"/>
      <c r="K217" s="54"/>
      <c r="L217" s="54"/>
      <c r="M217" s="54"/>
    </row>
    <row r="218" spans="1:13">
      <c r="A218" s="54"/>
      <c r="B218" s="54"/>
      <c r="C218" s="54"/>
      <c r="D218" s="54"/>
      <c r="E218" s="54"/>
      <c r="F218" s="54"/>
      <c r="G218" s="54"/>
      <c r="H218" s="54"/>
      <c r="I218" s="54"/>
      <c r="J218" s="54"/>
      <c r="K218" s="54"/>
      <c r="L218" s="54"/>
      <c r="M218" s="54"/>
    </row>
    <row r="219" spans="1:13">
      <c r="A219" s="54"/>
      <c r="B219" s="54"/>
      <c r="C219" s="54"/>
      <c r="D219" s="54"/>
      <c r="E219" s="54"/>
      <c r="F219" s="54"/>
      <c r="G219" s="54"/>
      <c r="H219" s="54"/>
      <c r="I219" s="54"/>
      <c r="J219" s="54"/>
      <c r="K219" s="54"/>
      <c r="L219" s="54"/>
      <c r="M219" s="54"/>
    </row>
    <row r="220" spans="1:13">
      <c r="A220" s="54"/>
      <c r="B220" s="54"/>
      <c r="C220" s="54"/>
      <c r="D220" s="54"/>
      <c r="E220" s="54"/>
      <c r="F220" s="54"/>
      <c r="G220" s="54"/>
      <c r="H220" s="54"/>
      <c r="I220" s="54"/>
      <c r="J220" s="54"/>
      <c r="K220" s="54"/>
      <c r="L220" s="54"/>
      <c r="M220" s="54"/>
    </row>
    <row r="221" spans="1:13">
      <c r="A221" s="54"/>
      <c r="B221" s="54"/>
      <c r="C221" s="54"/>
      <c r="D221" s="54"/>
      <c r="E221" s="54"/>
      <c r="F221" s="54"/>
      <c r="G221" s="54"/>
      <c r="H221" s="54"/>
      <c r="I221" s="54"/>
      <c r="J221" s="54"/>
      <c r="K221" s="54"/>
      <c r="L221" s="54"/>
      <c r="M221" s="54"/>
    </row>
    <row r="222" spans="1:13">
      <c r="A222" s="54"/>
      <c r="B222" s="56"/>
      <c r="C222" s="54"/>
      <c r="D222" s="54"/>
      <c r="E222" s="54"/>
      <c r="F222" s="54"/>
      <c r="G222" s="54"/>
      <c r="H222" s="54"/>
      <c r="I222" s="54"/>
      <c r="J222" s="54"/>
      <c r="K222" s="54"/>
      <c r="L222" s="54"/>
      <c r="M222" s="54"/>
    </row>
    <row r="223" spans="1:13">
      <c r="A223" s="54"/>
      <c r="B223" s="54"/>
      <c r="C223" s="54"/>
      <c r="D223" s="54"/>
      <c r="E223" s="54"/>
      <c r="F223" s="54"/>
      <c r="G223" s="54"/>
      <c r="H223" s="54"/>
      <c r="I223" s="54"/>
      <c r="J223" s="54"/>
      <c r="K223" s="54"/>
      <c r="L223" s="54"/>
      <c r="M223" s="54"/>
    </row>
    <row r="224" spans="1:13">
      <c r="A224" s="54"/>
      <c r="B224" s="54"/>
      <c r="C224" s="54"/>
      <c r="D224" s="54"/>
      <c r="E224" s="54"/>
      <c r="F224" s="54"/>
      <c r="G224" s="54"/>
      <c r="H224" s="54"/>
      <c r="I224" s="54"/>
      <c r="J224" s="54"/>
      <c r="K224" s="54"/>
      <c r="L224" s="54"/>
      <c r="M224" s="54"/>
    </row>
    <row r="225" spans="1:13">
      <c r="A225" s="54"/>
      <c r="B225" s="54"/>
      <c r="C225" s="54"/>
      <c r="D225" s="54"/>
      <c r="E225" s="54"/>
      <c r="F225" s="54"/>
      <c r="G225" s="54"/>
      <c r="H225" s="54"/>
      <c r="I225" s="54"/>
      <c r="J225" s="54"/>
      <c r="K225" s="54"/>
      <c r="L225" s="54"/>
      <c r="M225" s="54"/>
    </row>
    <row r="226" spans="1:13">
      <c r="A226" s="54"/>
      <c r="B226" s="54"/>
      <c r="C226" s="54"/>
      <c r="D226" s="54"/>
      <c r="E226" s="54"/>
      <c r="F226" s="54"/>
      <c r="G226" s="54"/>
      <c r="H226" s="54"/>
      <c r="I226" s="54"/>
      <c r="J226" s="54"/>
      <c r="K226" s="54"/>
      <c r="L226" s="54"/>
      <c r="M226" s="54"/>
    </row>
    <row r="227" spans="1:13">
      <c r="A227" s="54"/>
      <c r="B227" s="54"/>
      <c r="C227" s="54"/>
      <c r="D227" s="54"/>
      <c r="E227" s="54"/>
      <c r="F227" s="54"/>
      <c r="G227" s="54"/>
      <c r="H227" s="54"/>
      <c r="I227" s="54"/>
      <c r="J227" s="54"/>
      <c r="K227" s="54"/>
      <c r="L227" s="54"/>
      <c r="M227" s="54"/>
    </row>
    <row r="228" spans="1:13">
      <c r="A228" s="54"/>
      <c r="B228" s="54"/>
      <c r="C228" s="54"/>
      <c r="D228" s="54"/>
      <c r="E228" s="54"/>
      <c r="F228" s="54"/>
      <c r="G228" s="54"/>
      <c r="H228" s="54"/>
      <c r="I228" s="54"/>
      <c r="J228" s="54"/>
      <c r="K228" s="54"/>
      <c r="L228" s="54"/>
      <c r="M228" s="54"/>
    </row>
    <row r="229" spans="1:13">
      <c r="A229" s="54"/>
      <c r="B229" s="54"/>
      <c r="C229" s="54"/>
      <c r="D229" s="54"/>
      <c r="E229" s="54"/>
      <c r="F229" s="54"/>
      <c r="G229" s="54"/>
      <c r="H229" s="54"/>
      <c r="I229" s="54"/>
      <c r="J229" s="54"/>
      <c r="K229" s="54"/>
      <c r="L229" s="54"/>
      <c r="M229" s="54"/>
    </row>
    <row r="230" spans="1:13">
      <c r="A230" s="54"/>
      <c r="B230" s="54"/>
      <c r="C230" s="54"/>
      <c r="D230" s="54"/>
      <c r="E230" s="54"/>
      <c r="F230" s="54"/>
      <c r="G230" s="54"/>
      <c r="H230" s="54"/>
      <c r="I230" s="54"/>
      <c r="J230" s="54"/>
      <c r="K230" s="54"/>
      <c r="L230" s="54"/>
      <c r="M230" s="54"/>
    </row>
    <row r="231" spans="1:13">
      <c r="A231" s="54"/>
      <c r="B231" s="54"/>
      <c r="C231" s="54"/>
      <c r="D231" s="54"/>
      <c r="E231" s="54"/>
      <c r="F231" s="54"/>
      <c r="G231" s="54"/>
      <c r="H231" s="54"/>
      <c r="I231" s="54"/>
      <c r="J231" s="54"/>
      <c r="K231" s="54"/>
      <c r="L231" s="54"/>
      <c r="M231" s="54"/>
    </row>
    <row r="232" spans="1:13">
      <c r="A232" s="54"/>
      <c r="B232" s="54"/>
      <c r="C232" s="54"/>
      <c r="D232" s="54"/>
      <c r="E232" s="54"/>
      <c r="F232" s="54"/>
      <c r="G232" s="54"/>
      <c r="H232" s="54"/>
      <c r="I232" s="54"/>
      <c r="J232" s="54"/>
      <c r="K232" s="54"/>
      <c r="L232" s="54"/>
      <c r="M232" s="54"/>
    </row>
    <row r="233" spans="1:13">
      <c r="A233" s="54"/>
      <c r="B233" s="54"/>
      <c r="C233" s="54"/>
      <c r="D233" s="54"/>
      <c r="E233" s="54"/>
      <c r="F233" s="54"/>
      <c r="G233" s="54"/>
      <c r="H233" s="54"/>
      <c r="I233" s="54"/>
      <c r="J233" s="54"/>
      <c r="K233" s="54"/>
      <c r="L233" s="54"/>
      <c r="M233" s="54"/>
    </row>
    <row r="234" spans="1:13">
      <c r="A234" s="54"/>
      <c r="B234" s="54"/>
      <c r="C234" s="54"/>
      <c r="D234" s="54"/>
      <c r="E234" s="54"/>
      <c r="F234" s="54"/>
      <c r="G234" s="54"/>
      <c r="H234" s="54"/>
      <c r="I234" s="54"/>
      <c r="J234" s="54"/>
      <c r="K234" s="54"/>
      <c r="L234" s="54"/>
      <c r="M234" s="54"/>
    </row>
    <row r="235" spans="1:13">
      <c r="A235" s="54"/>
      <c r="B235" s="54"/>
      <c r="C235" s="54"/>
      <c r="D235" s="54"/>
      <c r="E235" s="54"/>
      <c r="F235" s="54"/>
      <c r="G235" s="54"/>
      <c r="H235" s="54"/>
      <c r="I235" s="54"/>
      <c r="J235" s="54"/>
      <c r="K235" s="54"/>
      <c r="L235" s="54"/>
      <c r="M235" s="54"/>
    </row>
    <row r="236" spans="1:13">
      <c r="A236" s="54"/>
      <c r="B236" s="54"/>
      <c r="C236" s="54"/>
      <c r="D236" s="54"/>
      <c r="E236" s="54"/>
      <c r="F236" s="54"/>
      <c r="G236" s="54"/>
      <c r="H236" s="54"/>
      <c r="I236" s="54"/>
      <c r="J236" s="54"/>
      <c r="K236" s="54"/>
      <c r="L236" s="54"/>
      <c r="M236" s="54"/>
    </row>
    <row r="237" spans="1:13">
      <c r="A237" s="54"/>
      <c r="B237" s="54"/>
      <c r="C237" s="54"/>
      <c r="D237" s="54"/>
      <c r="E237" s="54"/>
      <c r="F237" s="54"/>
      <c r="G237" s="54"/>
      <c r="H237" s="54"/>
      <c r="I237" s="54"/>
      <c r="J237" s="54"/>
      <c r="K237" s="54"/>
      <c r="L237" s="54"/>
      <c r="M237" s="54"/>
    </row>
    <row r="238" spans="1:13">
      <c r="A238" s="54"/>
      <c r="B238" s="54"/>
      <c r="C238" s="54"/>
      <c r="D238" s="54"/>
      <c r="E238" s="54"/>
      <c r="F238" s="54"/>
      <c r="G238" s="54"/>
      <c r="H238" s="54"/>
      <c r="I238" s="54"/>
      <c r="J238" s="54"/>
      <c r="K238" s="54"/>
      <c r="L238" s="54"/>
      <c r="M238" s="54"/>
    </row>
    <row r="239" spans="1:13">
      <c r="A239" s="54"/>
      <c r="B239" s="54"/>
      <c r="C239" s="54"/>
      <c r="D239" s="54"/>
      <c r="E239" s="54"/>
      <c r="F239" s="54"/>
      <c r="G239" s="54"/>
      <c r="H239" s="54"/>
      <c r="I239" s="54"/>
      <c r="J239" s="54"/>
      <c r="K239" s="54"/>
      <c r="L239" s="54"/>
      <c r="M239" s="54"/>
    </row>
    <row r="240" spans="1:13">
      <c r="A240" s="54"/>
      <c r="B240" s="54"/>
      <c r="C240" s="54"/>
      <c r="D240" s="54"/>
      <c r="E240" s="54"/>
      <c r="F240" s="54"/>
      <c r="G240" s="54"/>
      <c r="H240" s="54"/>
      <c r="I240" s="54"/>
      <c r="J240" s="54"/>
      <c r="K240" s="54"/>
      <c r="L240" s="54"/>
      <c r="M240" s="54"/>
    </row>
    <row r="241" spans="1:13">
      <c r="A241" s="54"/>
      <c r="B241" s="54"/>
      <c r="C241" s="54"/>
      <c r="D241" s="54"/>
      <c r="E241" s="54"/>
      <c r="F241" s="54"/>
      <c r="G241" s="54"/>
      <c r="H241" s="54"/>
      <c r="I241" s="54"/>
      <c r="J241" s="54"/>
      <c r="K241" s="54"/>
      <c r="L241" s="54"/>
      <c r="M241" s="54"/>
    </row>
    <row r="242" spans="1:13">
      <c r="A242" s="54"/>
      <c r="B242" s="54"/>
      <c r="C242" s="54"/>
      <c r="D242" s="54"/>
      <c r="E242" s="54"/>
      <c r="F242" s="54"/>
      <c r="G242" s="54"/>
      <c r="H242" s="54"/>
      <c r="I242" s="54"/>
      <c r="J242" s="54"/>
      <c r="K242" s="54"/>
      <c r="L242" s="54"/>
      <c r="M242" s="54"/>
    </row>
    <row r="243" spans="1:13">
      <c r="A243" s="54"/>
      <c r="B243" s="54"/>
      <c r="C243" s="54"/>
      <c r="D243" s="54"/>
      <c r="E243" s="54"/>
      <c r="F243" s="54"/>
      <c r="G243" s="54"/>
      <c r="H243" s="54"/>
      <c r="I243" s="54"/>
      <c r="J243" s="54"/>
      <c r="K243" s="54"/>
      <c r="L243" s="54"/>
      <c r="M243" s="54"/>
    </row>
    <row r="244" spans="1:13">
      <c r="A244" s="54"/>
      <c r="B244" s="54"/>
      <c r="C244" s="54"/>
      <c r="D244" s="54"/>
      <c r="E244" s="54"/>
      <c r="F244" s="54"/>
      <c r="G244" s="54"/>
      <c r="H244" s="54"/>
      <c r="I244" s="54"/>
      <c r="J244" s="54"/>
      <c r="K244" s="54"/>
      <c r="L244" s="54"/>
      <c r="M244" s="54"/>
    </row>
    <row r="245" spans="1:13">
      <c r="A245" s="54"/>
      <c r="B245" s="54"/>
      <c r="C245" s="54"/>
      <c r="D245" s="54"/>
      <c r="E245" s="54"/>
      <c r="F245" s="54"/>
      <c r="G245" s="54"/>
      <c r="H245" s="54"/>
      <c r="I245" s="54"/>
      <c r="J245" s="54"/>
      <c r="K245" s="54"/>
      <c r="L245" s="54"/>
      <c r="M245" s="54"/>
    </row>
    <row r="246" spans="1:13">
      <c r="A246" s="54"/>
      <c r="B246" s="54"/>
      <c r="C246" s="54"/>
      <c r="D246" s="54"/>
      <c r="E246" s="54"/>
      <c r="F246" s="54"/>
      <c r="G246" s="54"/>
      <c r="H246" s="54"/>
      <c r="I246" s="54"/>
      <c r="J246" s="54"/>
      <c r="K246" s="54"/>
      <c r="L246" s="54"/>
      <c r="M246" s="54"/>
    </row>
    <row r="247" spans="1:13">
      <c r="A247" s="54"/>
      <c r="B247" s="54"/>
      <c r="C247" s="54"/>
      <c r="D247" s="54"/>
      <c r="E247" s="54"/>
      <c r="F247" s="54"/>
      <c r="G247" s="54"/>
      <c r="H247" s="54"/>
      <c r="I247" s="54"/>
      <c r="J247" s="54"/>
      <c r="K247" s="54"/>
      <c r="L247" s="54"/>
      <c r="M247" s="54"/>
    </row>
    <row r="248" spans="1:13">
      <c r="A248" s="54"/>
      <c r="B248" s="54"/>
      <c r="C248" s="54"/>
      <c r="D248" s="54"/>
      <c r="E248" s="54"/>
      <c r="F248" s="54"/>
      <c r="G248" s="54"/>
      <c r="H248" s="54"/>
      <c r="I248" s="54"/>
      <c r="J248" s="54"/>
      <c r="K248" s="54"/>
      <c r="L248" s="54"/>
      <c r="M248" s="54"/>
    </row>
    <row r="249" spans="1:13">
      <c r="A249" s="54"/>
      <c r="B249" s="54"/>
      <c r="C249" s="54"/>
      <c r="D249" s="54"/>
      <c r="E249" s="54"/>
      <c r="F249" s="54"/>
      <c r="G249" s="54"/>
      <c r="H249" s="54"/>
      <c r="I249" s="54"/>
      <c r="J249" s="54"/>
      <c r="K249" s="54"/>
      <c r="L249" s="54"/>
      <c r="M249" s="54"/>
    </row>
    <row r="250" spans="1:13">
      <c r="A250" s="54"/>
      <c r="B250" s="54"/>
      <c r="C250" s="54"/>
      <c r="D250" s="54"/>
      <c r="E250" s="54"/>
      <c r="F250" s="54"/>
      <c r="G250" s="54"/>
      <c r="H250" s="54"/>
      <c r="I250" s="54"/>
      <c r="J250" s="54"/>
      <c r="K250" s="54"/>
      <c r="L250" s="54"/>
      <c r="M250" s="54"/>
    </row>
    <row r="251" spans="1:13">
      <c r="A251" s="54"/>
      <c r="B251" s="54"/>
      <c r="C251" s="54"/>
      <c r="D251" s="54"/>
      <c r="E251" s="54"/>
      <c r="F251" s="54"/>
      <c r="G251" s="54"/>
      <c r="H251" s="54"/>
      <c r="I251" s="54"/>
      <c r="J251" s="54"/>
      <c r="K251" s="54"/>
      <c r="L251" s="54"/>
      <c r="M251" s="54"/>
    </row>
    <row r="252" spans="1:13">
      <c r="A252" s="54"/>
      <c r="B252" s="54"/>
      <c r="C252" s="54"/>
      <c r="D252" s="54"/>
      <c r="E252" s="54"/>
      <c r="F252" s="54"/>
      <c r="G252" s="54"/>
      <c r="H252" s="54"/>
      <c r="I252" s="54"/>
      <c r="J252" s="54"/>
      <c r="K252" s="54"/>
      <c r="L252" s="54"/>
      <c r="M252" s="54"/>
    </row>
  </sheetData>
  <sheetProtection algorithmName="SHA-512" hashValue="dR+z9ai002UgC4GLdO1SB8CkSZ4RMAUppyLlH6ZTN5qx1+xjORA2BD3FkPOg6zztn63oMirrLHFK/okW3MBUWw==" saltValue="n1inzKqFFUPt4wO8BrcYrQ==" spinCount="100000" sheet="1" objects="1" scenarios="1" insertRows="0"/>
  <mergeCells count="2">
    <mergeCell ref="C7:D7"/>
    <mergeCell ref="C6:D6"/>
  </mergeCells>
  <dataValidations count="9">
    <dataValidation type="list" allowBlank="1" showInputMessage="1" showErrorMessage="1" sqref="D171:D172 D178:D179">
      <formula1>"siempre, normalemente, a veces, nunca"</formula1>
    </dataValidation>
    <dataValidation type="whole" allowBlank="1" showInputMessage="1" showErrorMessage="1" sqref="D40:D48 D91:D100">
      <formula1>1</formula1>
      <formula2>99999999999999900000</formula2>
    </dataValidation>
    <dataValidation type="decimal" allowBlank="1" showInputMessage="1" showErrorMessage="1" sqref="C26:C35 C143:C145 C192:C194 C77:C86">
      <formula1>0</formula1>
      <formula2>9.99999999999999E+30</formula2>
    </dataValidation>
    <dataValidation type="list" allowBlank="1" showInputMessage="1" showErrorMessage="1" sqref="D26:D35 D143:D145 D77:D86">
      <formula1>"Diesel, Gasolina, GLP,"</formula1>
    </dataValidation>
    <dataValidation type="list" allowBlank="1" showInputMessage="1" showErrorMessage="1" sqref="D150:D167">
      <formula1>"Estándar (Endesa, Gas Natural, etc.), Proveedor de energía renovables,"</formula1>
    </dataValidation>
    <dataValidation type="list" allowBlank="1" showInputMessage="1" showErrorMessage="1" sqref="C40:C49 C91:C100">
      <formula1>"Tren, Autobús, Avión"</formula1>
    </dataValidation>
    <dataValidation type="list" allowBlank="1" showInputMessage="1" showErrorMessage="1" sqref="D53 D189 D73:D74 D105:D106 D122:D123 D140 C164 C171:C172 C178:C183 D22:D23">
      <formula1>"siempre, normalmente, a veces, nunca"</formula1>
    </dataValidation>
    <dataValidation type="list" allowBlank="1" showInputMessage="1" showErrorMessage="1" sqref="E127:E135">
      <formula1>"normal, vegetariano"</formula1>
    </dataValidation>
    <dataValidation type="list" allowBlank="1" showInputMessage="1" showErrorMessage="1" sqref="E126">
      <formula1>"normal, productos locales, vegetariano"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Hoja9">
    <tabColor theme="9"/>
  </sheetPr>
  <dimension ref="B1:O135"/>
  <sheetViews>
    <sheetView workbookViewId="0">
      <selection activeCell="L18" sqref="L18:L20"/>
    </sheetView>
  </sheetViews>
  <sheetFormatPr baseColWidth="10" defaultColWidth="10.7109375" defaultRowHeight="14.25"/>
  <cols>
    <col min="1" max="1" width="8.42578125" style="17" customWidth="1"/>
    <col min="2" max="2" width="15.42578125" style="17" customWidth="1"/>
    <col min="3" max="3" width="10.7109375" style="17"/>
    <col min="4" max="4" width="13.28515625" style="17" customWidth="1"/>
    <col min="5" max="5" width="11.85546875" style="17" bestFit="1" customWidth="1"/>
    <col min="6" max="6" width="12.42578125" style="17" bestFit="1" customWidth="1"/>
    <col min="7" max="7" width="15" style="17" customWidth="1"/>
    <col min="8" max="16384" width="10.7109375" style="17"/>
  </cols>
  <sheetData>
    <row r="1" spans="2:10" s="18" customFormat="1"/>
    <row r="2" spans="2:10" s="18" customFormat="1"/>
    <row r="3" spans="2:10" s="18" customFormat="1"/>
    <row r="4" spans="2:10" s="18" customFormat="1"/>
    <row r="5" spans="2:10" s="18" customFormat="1"/>
    <row r="6" spans="2:10" s="18" customFormat="1"/>
    <row r="7" spans="2:10" s="18" customFormat="1">
      <c r="J7" s="23"/>
    </row>
    <row r="8" spans="2:10" s="18" customFormat="1"/>
    <row r="9" spans="2:10" s="18" customFormat="1"/>
    <row r="10" spans="2:10" s="18" customFormat="1"/>
    <row r="11" spans="2:10" s="18" customFormat="1"/>
    <row r="12" spans="2:10" s="18" customFormat="1" ht="18">
      <c r="B12" s="24" t="e">
        <f ca="1">CONCATENATE("La huella de carbono de: ",Titulo," es de ",'Calculos 2'!N2," Toneladas de CO2 equivalentes (tonCO2eq)",
"",)</f>
        <v>#NAME?</v>
      </c>
    </row>
    <row r="13" spans="2:10" s="18" customFormat="1" ht="18">
      <c r="B13" s="25"/>
    </row>
    <row r="14" spans="2:10" s="18" customFormat="1" ht="18">
      <c r="B14" s="25"/>
    </row>
    <row r="15" spans="2:10" s="18" customFormat="1" ht="18">
      <c r="B15" s="24" t="s">
        <v>1084</v>
      </c>
      <c r="J15" s="24" t="s">
        <v>1085</v>
      </c>
    </row>
    <row r="16" spans="2:10" s="18" customFormat="1" ht="18">
      <c r="B16" s="25"/>
    </row>
    <row r="17" spans="2:12" s="18" customFormat="1" ht="18">
      <c r="B17" s="25"/>
      <c r="C17"/>
      <c r="D17" t="s">
        <v>1083</v>
      </c>
      <c r="K17"/>
      <c r="L17" t="s">
        <v>1083</v>
      </c>
    </row>
    <row r="18" spans="2:12" s="18" customFormat="1" ht="18">
      <c r="B18" s="25"/>
      <c r="C18" s="1" t="s">
        <v>106</v>
      </c>
      <c r="D18" t="e">
        <f ca="1">'Calculos 2'!G2</f>
        <v>#NAME?</v>
      </c>
      <c r="K18" s="1" t="s">
        <v>997</v>
      </c>
      <c r="L18" t="e">
        <f ca="1">'Calculos 2'!K2</f>
        <v>#NAME?</v>
      </c>
    </row>
    <row r="19" spans="2:12" s="18" customFormat="1" ht="18">
      <c r="B19" s="25"/>
      <c r="C19" s="1" t="s">
        <v>1061</v>
      </c>
      <c r="D19" t="e">
        <f ca="1">'Calculos 2'!G3</f>
        <v>#NAME?</v>
      </c>
      <c r="K19" s="1" t="s">
        <v>998</v>
      </c>
      <c r="L19" t="e">
        <f ca="1">'Calculos 2'!K3</f>
        <v>#NAME?</v>
      </c>
    </row>
    <row r="20" spans="2:12" s="18" customFormat="1" ht="18">
      <c r="B20" s="25"/>
      <c r="C20" s="1" t="s">
        <v>1064</v>
      </c>
      <c r="D20" t="e">
        <f ca="1">'Calculos 2'!G4</f>
        <v>#NAME?</v>
      </c>
      <c r="K20" s="1" t="s">
        <v>999</v>
      </c>
      <c r="L20" t="e">
        <f ca="1">'Calculos 2'!K4</f>
        <v>#NAME?</v>
      </c>
    </row>
    <row r="21" spans="2:12" s="18" customFormat="1" ht="18">
      <c r="B21" s="25"/>
      <c r="C21" s="1" t="s">
        <v>1066</v>
      </c>
      <c r="D21" t="e">
        <f ca="1">'Calculos 2'!G5</f>
        <v>#NAME?</v>
      </c>
    </row>
    <row r="22" spans="2:12" s="18" customFormat="1" ht="18">
      <c r="B22" s="25"/>
      <c r="C22" s="1" t="s">
        <v>1072</v>
      </c>
      <c r="D22" t="e">
        <f ca="1">'Calculos 2'!G6</f>
        <v>#NAME?</v>
      </c>
    </row>
    <row r="23" spans="2:12" s="18" customFormat="1" ht="18">
      <c r="B23" s="25"/>
      <c r="C23" s="1" t="s">
        <v>1077</v>
      </c>
      <c r="D23" t="e">
        <f ca="1">'Calculos 2'!G7</f>
        <v>#NAME?</v>
      </c>
    </row>
    <row r="24" spans="2:12" s="18" customFormat="1">
      <c r="B24" s="26"/>
    </row>
    <row r="25" spans="2:12" s="18" customFormat="1"/>
    <row r="26" spans="2:12" s="18" customFormat="1"/>
    <row r="27" spans="2:12" s="18" customFormat="1"/>
    <row r="28" spans="2:12" s="18" customFormat="1"/>
    <row r="29" spans="2:12" s="18" customFormat="1"/>
    <row r="30" spans="2:12" s="18" customFormat="1"/>
    <row r="31" spans="2:12" s="18" customFormat="1" ht="15.75">
      <c r="B31" s="30" t="s">
        <v>1098</v>
      </c>
      <c r="C31" s="27"/>
      <c r="D31" s="27"/>
      <c r="E31" s="27"/>
      <c r="F31" s="27"/>
      <c r="G31" s="27"/>
      <c r="H31" s="27"/>
      <c r="I31" s="27"/>
    </row>
    <row r="32" spans="2:12" s="18" customFormat="1">
      <c r="B32" s="27"/>
      <c r="C32" s="27"/>
      <c r="D32" s="27"/>
      <c r="E32" s="27"/>
      <c r="F32" s="27"/>
      <c r="G32" s="27"/>
      <c r="H32" s="27"/>
      <c r="I32" s="27"/>
    </row>
    <row r="33" spans="2:10" s="18" customFormat="1" ht="18.75">
      <c r="B33" s="28" t="e">
        <f ca="1">CONCATENATE("Habria que plantar ",compensacion," árboles y mantenerlos durante 30 años.")</f>
        <v>#NAME?</v>
      </c>
      <c r="C33" s="27"/>
      <c r="D33" s="27"/>
      <c r="E33" s="27"/>
      <c r="F33" s="27"/>
      <c r="G33" s="27"/>
      <c r="H33" s="27"/>
      <c r="I33" s="27"/>
      <c r="J33" s="23"/>
    </row>
    <row r="34" spans="2:10" s="18" customFormat="1"/>
    <row r="35" spans="2:10" s="18" customFormat="1">
      <c r="G35" s="137"/>
      <c r="H35" s="137"/>
      <c r="I35" s="137"/>
    </row>
    <row r="36" spans="2:10" s="18" customFormat="1" ht="18">
      <c r="B36" s="24" t="s">
        <v>1086</v>
      </c>
    </row>
    <row r="37" spans="2:10" s="18" customFormat="1">
      <c r="B37" s="18" t="s">
        <v>1094</v>
      </c>
      <c r="F37" s="29" t="e">
        <f ca="1">'Calculos 2'!O2</f>
        <v>#NAME?</v>
      </c>
    </row>
    <row r="38" spans="2:10" s="18" customFormat="1">
      <c r="B38" s="18" t="s">
        <v>1095</v>
      </c>
      <c r="F38" s="29" t="e">
        <f ca="1">'Calculos 2'!Q2</f>
        <v>#NAME?</v>
      </c>
    </row>
    <row r="39" spans="2:10" s="18" customFormat="1"/>
    <row r="40" spans="2:10" s="18" customFormat="1"/>
    <row r="41" spans="2:10" s="19" customFormat="1"/>
    <row r="42" spans="2:10" s="19" customFormat="1"/>
    <row r="43" spans="2:10" s="19" customFormat="1"/>
    <row r="44" spans="2:10" s="19" customFormat="1"/>
    <row r="45" spans="2:10" s="19" customFormat="1"/>
    <row r="46" spans="2:10" s="19" customFormat="1"/>
    <row r="47" spans="2:10" s="19" customFormat="1">
      <c r="C47" s="19" t="str">
        <f>'Calculos 2'!E17</f>
        <v xml:space="preserve"> </v>
      </c>
    </row>
    <row r="48" spans="2:10" s="19" customFormat="1"/>
    <row r="49" spans="3:4" s="19" customFormat="1"/>
    <row r="50" spans="3:4" s="19" customFormat="1"/>
    <row r="51" spans="3:4" s="19" customFormat="1">
      <c r="D51" s="19" t="str">
        <f>'Calculos 2'!E18</f>
        <v>¡Recuerda! para los transportes en bus, tren o avión el tren es el transporte con menor huella de carbono, selecciónalo siempre que sea posible.</v>
      </c>
    </row>
    <row r="52" spans="3:4" s="19" customFormat="1"/>
    <row r="53" spans="3:4" s="19" customFormat="1"/>
    <row r="54" spans="3:4" s="19" customFormat="1"/>
    <row r="55" spans="3:4" s="19" customFormat="1">
      <c r="C55" s="19" t="str">
        <f>'Calculos 2'!E19</f>
        <v xml:space="preserve"> </v>
      </c>
    </row>
    <row r="56" spans="3:4" s="19" customFormat="1"/>
    <row r="57" spans="3:4" s="19" customFormat="1"/>
    <row r="58" spans="3:4" s="20" customFormat="1"/>
    <row r="59" spans="3:4" s="20" customFormat="1"/>
    <row r="60" spans="3:4" s="20" customFormat="1"/>
    <row r="61" spans="3:4" s="20" customFormat="1"/>
    <row r="62" spans="3:4" s="20" customFormat="1"/>
    <row r="63" spans="3:4" s="20" customFormat="1"/>
    <row r="64" spans="3:4" s="20" customFormat="1">
      <c r="C64" s="20" t="str">
        <f>'Calculos 2'!E21</f>
        <v xml:space="preserve"> </v>
      </c>
    </row>
    <row r="65" spans="3:4" s="20" customFormat="1"/>
    <row r="66" spans="3:4" s="20" customFormat="1"/>
    <row r="67" spans="3:4" s="20" customFormat="1"/>
    <row r="68" spans="3:4" s="20" customFormat="1">
      <c r="D68" s="20" t="str">
        <f>'Calculos 2'!E22</f>
        <v>¡Recuerda! para los transportes en bus, tren o avión el tren es el transporte con menor huella de carbono, selecciónalo siempre que sea posible.</v>
      </c>
    </row>
    <row r="69" spans="3:4" s="20" customFormat="1"/>
    <row r="70" spans="3:4" s="20" customFormat="1"/>
    <row r="71" spans="3:4" s="20" customFormat="1"/>
    <row r="72" spans="3:4" s="20" customFormat="1">
      <c r="C72" s="20" t="str">
        <f>'Calculos 2'!E23</f>
        <v xml:space="preserve"> </v>
      </c>
    </row>
    <row r="73" spans="3:4" s="20" customFormat="1">
      <c r="C73" s="20" t="str">
        <f>'Calculos 2'!E24</f>
        <v xml:space="preserve"> </v>
      </c>
    </row>
    <row r="74" spans="3:4" s="20" customFormat="1"/>
    <row r="75" spans="3:4" s="20" customFormat="1"/>
    <row r="76" spans="3:4" s="20" customFormat="1"/>
    <row r="77" spans="3:4" s="20" customFormat="1">
      <c r="C77" s="20" t="str">
        <f>'Calculos 2'!E25</f>
        <v xml:space="preserve"> </v>
      </c>
    </row>
    <row r="78" spans="3:4" s="20" customFormat="1">
      <c r="C78" s="20" t="str">
        <f>'Calculos 2'!E26</f>
        <v xml:space="preserve"> </v>
      </c>
    </row>
    <row r="79" spans="3:4" s="20" customFormat="1"/>
    <row r="80" spans="3:4" s="20" customFormat="1"/>
    <row r="81" spans="3:15" s="20" customFormat="1">
      <c r="C81" s="20" t="str">
        <f>'Calculos 2'!E27</f>
        <v xml:space="preserve"> </v>
      </c>
    </row>
    <row r="82" spans="3:15" s="20" customFormat="1"/>
    <row r="83" spans="3:15" s="20" customFormat="1"/>
    <row r="84" spans="3:15" s="20" customFormat="1"/>
    <row r="85" spans="3:15" s="20" customFormat="1">
      <c r="C85" s="20" t="str">
        <f>'Calculos 2'!E28</f>
        <v>Contratando proveedores eléctricos de energía renovables te garantizas que todo tu consumo eléctrico de la red es libre de emisiones de gases de efecto invernadero.</v>
      </c>
    </row>
    <row r="86" spans="3:15" s="20" customFormat="1"/>
    <row r="87" spans="3:15" s="20" customFormat="1"/>
    <row r="88" spans="3:15" s="20" customFormat="1">
      <c r="C88" s="20" t="str">
        <f>'Calculos 2'!E29</f>
        <v xml:space="preserve"> </v>
      </c>
    </row>
    <row r="89" spans="3:15" s="20" customFormat="1"/>
    <row r="90" spans="3:15" s="20" customFormat="1"/>
    <row r="91" spans="3:15" s="20" customFormat="1"/>
    <row r="92" spans="3:15" s="20" customFormat="1">
      <c r="C92" s="20" t="str">
        <f>'Calculos 2'!E30</f>
        <v>Priorizar en el alquiler en lugar de la compra de decorados, vestuario, etc siempre repercute en la reducción de la huella de carbono de la producción.</v>
      </c>
    </row>
    <row r="93" spans="3:15" s="20" customFormat="1"/>
    <row r="94" spans="3:15" s="20" customFormat="1"/>
    <row r="95" spans="3:15" s="20" customFormat="1"/>
    <row r="96" spans="3:15" s="20" customFormat="1" ht="47.25" customHeight="1">
      <c r="C96" s="138" t="str">
        <f>'Calculos 2'!E31</f>
        <v>En la gestión de residuos hay una máxima reducir, reutilizar y reciclar. Está máxima además va por orden: reducir el número de productos que se comprar y que luego se desechan. Reutilizar siempre que sea posible. En ultimo caso todos nuestros residuos deben reciclarse. Con esta regla además de optimizar los recursos estamos reduciendo la huella de carbono de la producción audiovisual.</v>
      </c>
      <c r="D96" s="138"/>
      <c r="E96" s="138"/>
      <c r="F96" s="138"/>
      <c r="G96" s="138"/>
      <c r="H96" s="138"/>
      <c r="I96" s="138"/>
      <c r="J96" s="138"/>
      <c r="K96" s="138"/>
      <c r="L96" s="138"/>
      <c r="M96" s="138"/>
      <c r="N96" s="138"/>
      <c r="O96" s="138"/>
    </row>
    <row r="97" spans="3:3" s="20" customFormat="1"/>
    <row r="98" spans="3:3" s="20" customFormat="1"/>
    <row r="99" spans="3:3" s="20" customFormat="1">
      <c r="C99" s="20" t="str">
        <f>'Calculos 2'!E34</f>
        <v xml:space="preserve"> </v>
      </c>
    </row>
    <row r="100" spans="3:3" s="20" customFormat="1"/>
    <row r="101" spans="3:3" s="20" customFormat="1"/>
    <row r="102" spans="3:3" s="20" customFormat="1"/>
    <row r="103" spans="3:3" s="21" customFormat="1"/>
    <row r="104" spans="3:3" s="21" customFormat="1"/>
    <row r="105" spans="3:3" s="21" customFormat="1"/>
    <row r="106" spans="3:3" s="21" customFormat="1"/>
    <row r="107" spans="3:3" s="21" customFormat="1"/>
    <row r="108" spans="3:3" s="21" customFormat="1"/>
    <row r="109" spans="3:3" s="21" customFormat="1">
      <c r="C109" s="21" t="s">
        <v>1096</v>
      </c>
    </row>
    <row r="110" spans="3:3" s="21" customFormat="1">
      <c r="C110" s="22"/>
    </row>
    <row r="111" spans="3:3" s="21" customFormat="1"/>
    <row r="112" spans="3:3"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sheetData>
  <sheetProtection sheet="1" objects="1" scenarios="1"/>
  <mergeCells count="2">
    <mergeCell ref="G35:I35"/>
    <mergeCell ref="C96:O9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Hoja3">
    <tabColor rgb="FFFF0000"/>
  </sheetPr>
  <dimension ref="A4:Z164"/>
  <sheetViews>
    <sheetView topLeftCell="AA1" workbookViewId="0">
      <selection sqref="A1:Z1048576"/>
    </sheetView>
  </sheetViews>
  <sheetFormatPr baseColWidth="10" defaultRowHeight="15"/>
  <cols>
    <col min="1" max="1" width="10.85546875" style="63" hidden="1" customWidth="1"/>
    <col min="2" max="2" width="28.42578125" style="63" hidden="1" customWidth="1"/>
    <col min="3" max="26" width="10.85546875" style="63" hidden="1" customWidth="1"/>
  </cols>
  <sheetData>
    <row r="4" spans="1:15" ht="16.5">
      <c r="A4" s="57"/>
      <c r="B4" s="58"/>
      <c r="C4" s="58"/>
      <c r="D4" s="59"/>
      <c r="E4" s="60"/>
      <c r="F4" s="60"/>
      <c r="G4" s="61"/>
      <c r="H4" s="62"/>
    </row>
    <row r="5" spans="1:15" ht="16.5">
      <c r="A5" s="57"/>
      <c r="B5" s="58"/>
      <c r="C5" s="58"/>
      <c r="D5" s="59"/>
      <c r="E5" s="60"/>
      <c r="F5" s="60"/>
      <c r="G5" s="64"/>
      <c r="H5" s="62"/>
    </row>
    <row r="6" spans="1:15" ht="16.5">
      <c r="A6" s="57"/>
      <c r="B6" s="58"/>
      <c r="C6" s="58"/>
      <c r="D6" s="59"/>
      <c r="E6" s="60"/>
      <c r="F6" s="60"/>
      <c r="G6" s="61"/>
      <c r="H6" s="62"/>
    </row>
    <row r="7" spans="1:15" ht="16.5">
      <c r="A7" s="57"/>
      <c r="B7" s="58"/>
      <c r="C7" s="58"/>
      <c r="D7" s="59"/>
      <c r="E7" s="60"/>
      <c r="F7" s="60"/>
      <c r="G7" s="64"/>
      <c r="H7" s="62"/>
    </row>
    <row r="8" spans="1:15" ht="16.5">
      <c r="A8" s="57"/>
      <c r="B8" s="58"/>
      <c r="C8" s="58"/>
      <c r="D8" s="59"/>
      <c r="E8" s="65"/>
      <c r="F8" s="60"/>
      <c r="G8" s="64"/>
      <c r="H8" s="62"/>
    </row>
    <row r="9" spans="1:15" ht="16.5">
      <c r="A9" s="57"/>
      <c r="B9" s="58"/>
      <c r="C9" s="58"/>
      <c r="D9" s="59"/>
      <c r="E9" s="60"/>
      <c r="F9" s="60"/>
      <c r="G9" s="61"/>
      <c r="H9" s="62"/>
    </row>
    <row r="10" spans="1:15" ht="16.5">
      <c r="A10" s="57"/>
      <c r="B10" s="58"/>
      <c r="C10" s="58"/>
      <c r="D10" s="59"/>
      <c r="E10" s="60"/>
      <c r="F10" s="60"/>
      <c r="G10" s="61"/>
      <c r="H10" s="62"/>
    </row>
    <row r="11" spans="1:15" ht="16.5">
      <c r="A11" s="57"/>
      <c r="B11" s="66"/>
      <c r="C11" s="66"/>
      <c r="D11" s="59"/>
      <c r="E11" s="65"/>
      <c r="F11" s="60"/>
      <c r="G11" s="61"/>
      <c r="H11" s="62"/>
    </row>
    <row r="12" spans="1:15" ht="16.5">
      <c r="A12" s="57"/>
      <c r="B12" s="58"/>
      <c r="C12" s="58"/>
      <c r="D12" s="59"/>
      <c r="E12" s="60"/>
      <c r="F12" s="60"/>
      <c r="G12" s="61"/>
      <c r="H12" s="62"/>
    </row>
    <row r="13" spans="1:15" ht="16.5">
      <c r="A13" s="57"/>
      <c r="B13" s="58"/>
      <c r="C13" s="58"/>
      <c r="D13" s="59"/>
      <c r="E13" s="60"/>
      <c r="F13" s="60"/>
      <c r="G13" s="61"/>
      <c r="H13" s="62"/>
      <c r="O13" s="57"/>
    </row>
    <row r="14" spans="1:15" ht="16.5">
      <c r="A14" s="57"/>
      <c r="B14" s="58"/>
      <c r="C14" s="58"/>
      <c r="D14" s="59"/>
      <c r="E14" s="60"/>
      <c r="F14" s="60"/>
      <c r="G14" s="64"/>
      <c r="H14" s="62"/>
      <c r="O14" s="57"/>
    </row>
    <row r="15" spans="1:15" ht="16.5">
      <c r="A15" s="57"/>
      <c r="B15" s="58"/>
      <c r="C15" s="58"/>
      <c r="D15" s="59"/>
      <c r="E15" s="60"/>
      <c r="F15" s="60"/>
      <c r="G15" s="64"/>
      <c r="H15" s="62"/>
    </row>
    <row r="16" spans="1:15" ht="16.5">
      <c r="A16" s="57"/>
      <c r="B16" s="58"/>
      <c r="C16" s="58"/>
      <c r="D16" s="59"/>
      <c r="E16" s="60"/>
      <c r="F16" s="60"/>
      <c r="G16" s="64"/>
      <c r="H16" s="62"/>
    </row>
    <row r="17" spans="1:9" ht="16.5">
      <c r="A17" s="57"/>
      <c r="B17" s="58"/>
      <c r="C17" s="58"/>
      <c r="D17" s="59"/>
      <c r="E17" s="60"/>
      <c r="F17" s="60"/>
      <c r="G17" s="64"/>
      <c r="H17" s="62"/>
    </row>
    <row r="18" spans="1:9" ht="16.5">
      <c r="A18" s="57"/>
      <c r="B18" s="58"/>
      <c r="C18" s="58"/>
      <c r="D18" s="59"/>
      <c r="E18" s="60"/>
      <c r="F18" s="60"/>
      <c r="G18" s="64"/>
      <c r="H18" s="62"/>
    </row>
    <row r="19" spans="1:9" ht="16.5">
      <c r="A19" s="57"/>
      <c r="B19" s="58"/>
      <c r="C19" s="58"/>
      <c r="D19" s="59"/>
      <c r="E19" s="60"/>
      <c r="F19" s="60"/>
      <c r="G19" s="64"/>
      <c r="H19" s="62"/>
    </row>
    <row r="20" spans="1:9" ht="16.5">
      <c r="A20" s="57"/>
      <c r="B20" s="67"/>
      <c r="C20" s="62"/>
      <c r="D20" s="59"/>
      <c r="E20" s="60"/>
      <c r="F20" s="60"/>
      <c r="G20" s="64"/>
      <c r="H20" s="62"/>
    </row>
    <row r="21" spans="1:9" ht="16.5">
      <c r="A21" s="57"/>
      <c r="B21" s="58"/>
      <c r="C21" s="62"/>
      <c r="E21" s="59"/>
      <c r="F21" s="60"/>
      <c r="G21" s="60"/>
      <c r="H21" s="61"/>
    </row>
    <row r="22" spans="1:9" ht="16.5">
      <c r="A22" s="57"/>
      <c r="B22" s="67"/>
      <c r="C22" s="68"/>
      <c r="E22" s="59"/>
      <c r="F22" s="60"/>
      <c r="G22" s="60"/>
      <c r="H22" s="64"/>
    </row>
    <row r="23" spans="1:9" ht="16.5">
      <c r="A23" s="57"/>
      <c r="B23" s="67"/>
      <c r="C23" s="62"/>
      <c r="E23" s="59"/>
      <c r="F23" s="60"/>
      <c r="G23" s="60"/>
      <c r="H23" s="61"/>
    </row>
    <row r="24" spans="1:9" ht="17.25" thickBot="1">
      <c r="A24" s="57"/>
      <c r="B24" s="67"/>
      <c r="C24" s="62"/>
      <c r="E24" s="69"/>
      <c r="F24" s="70"/>
      <c r="G24" s="70"/>
      <c r="H24" s="71"/>
    </row>
    <row r="25" spans="1:9" ht="17.25" thickTop="1">
      <c r="A25" s="57"/>
      <c r="B25" s="67"/>
      <c r="C25" s="68"/>
      <c r="E25" s="72"/>
      <c r="F25" s="72"/>
      <c r="G25" s="72"/>
      <c r="H25" s="72"/>
    </row>
    <row r="26" spans="1:9" ht="17.25" thickBot="1">
      <c r="A26" s="57"/>
      <c r="B26" s="67"/>
      <c r="C26" s="62"/>
      <c r="E26" s="73"/>
      <c r="F26" s="74"/>
      <c r="G26" s="74"/>
      <c r="H26" s="75"/>
    </row>
    <row r="27" spans="1:9" ht="16.5">
      <c r="A27" s="57"/>
      <c r="B27" s="67"/>
      <c r="C27" s="62"/>
      <c r="E27" s="76"/>
      <c r="F27" s="62"/>
      <c r="G27" s="62"/>
      <c r="H27" s="62"/>
    </row>
    <row r="28" spans="1:9" ht="16.5">
      <c r="A28" s="57"/>
      <c r="B28" s="67"/>
      <c r="C28" s="62"/>
      <c r="E28" s="76"/>
      <c r="F28" s="62"/>
      <c r="G28" s="62"/>
      <c r="H28" s="62"/>
      <c r="I28" s="77"/>
    </row>
    <row r="31" spans="1:9" ht="16.5">
      <c r="A31" s="57"/>
      <c r="B31" s="58"/>
      <c r="C31" s="62"/>
      <c r="E31" s="59"/>
      <c r="F31" s="60"/>
      <c r="G31" s="60"/>
      <c r="H31" s="61"/>
    </row>
    <row r="32" spans="1:9" ht="16.5">
      <c r="A32" s="57"/>
      <c r="B32" s="58"/>
      <c r="C32" s="62"/>
      <c r="E32" s="59"/>
      <c r="F32" s="60"/>
      <c r="G32" s="60"/>
      <c r="H32" s="61"/>
    </row>
    <row r="33" spans="1:8" ht="16.5">
      <c r="A33" s="57"/>
      <c r="B33" s="58"/>
      <c r="C33" s="62"/>
      <c r="E33" s="59"/>
      <c r="F33" s="60"/>
      <c r="G33" s="60"/>
      <c r="H33" s="61"/>
    </row>
    <row r="34" spans="1:8" ht="16.5">
      <c r="A34" s="57"/>
      <c r="B34" s="78"/>
      <c r="C34" s="62"/>
      <c r="E34" s="59"/>
      <c r="F34" s="60"/>
      <c r="G34" s="60"/>
      <c r="H34" s="61"/>
    </row>
    <row r="35" spans="1:8" ht="16.5">
      <c r="A35" s="57"/>
      <c r="B35" s="58"/>
      <c r="C35" s="62"/>
      <c r="E35" s="59"/>
      <c r="F35" s="60"/>
      <c r="G35" s="60"/>
      <c r="H35" s="61"/>
    </row>
    <row r="36" spans="1:8" ht="16.5">
      <c r="A36" s="57"/>
      <c r="B36" s="78"/>
      <c r="C36" s="58"/>
      <c r="E36" s="59"/>
      <c r="F36" s="60"/>
      <c r="G36" s="60"/>
      <c r="H36" s="64"/>
    </row>
    <row r="37" spans="1:8" ht="16.5">
      <c r="A37" s="57"/>
      <c r="B37" s="78"/>
      <c r="C37" s="58"/>
      <c r="E37" s="59"/>
      <c r="F37" s="60"/>
      <c r="G37" s="60"/>
      <c r="H37" s="61"/>
    </row>
    <row r="38" spans="1:8" ht="16.5">
      <c r="A38" s="57"/>
      <c r="B38" s="78"/>
      <c r="C38" s="58"/>
      <c r="E38" s="59"/>
      <c r="F38" s="60"/>
      <c r="G38" s="60"/>
      <c r="H38" s="64"/>
    </row>
    <row r="39" spans="1:8" ht="16.5">
      <c r="A39" s="57"/>
      <c r="B39" s="58"/>
      <c r="C39" s="62"/>
      <c r="E39" s="59"/>
      <c r="F39" s="65"/>
      <c r="G39" s="60"/>
      <c r="H39" s="61"/>
    </row>
    <row r="40" spans="1:8" ht="16.5">
      <c r="A40" s="57"/>
      <c r="B40" s="58"/>
      <c r="C40" s="58"/>
      <c r="E40" s="59"/>
      <c r="F40" s="65"/>
      <c r="G40" s="60"/>
      <c r="H40" s="61"/>
    </row>
    <row r="41" spans="1:8" ht="16.5">
      <c r="A41" s="57"/>
      <c r="B41" s="58"/>
      <c r="C41" s="62"/>
      <c r="E41" s="59"/>
      <c r="F41" s="60"/>
      <c r="G41" s="60"/>
      <c r="H41" s="61"/>
    </row>
    <row r="42" spans="1:8" ht="16.5">
      <c r="A42" s="57"/>
      <c r="B42" s="58"/>
      <c r="C42" s="62"/>
      <c r="E42" s="59"/>
      <c r="F42" s="60"/>
      <c r="G42" s="60"/>
      <c r="H42" s="61"/>
    </row>
    <row r="43" spans="1:8" ht="16.5">
      <c r="A43" s="57"/>
      <c r="B43" s="58"/>
      <c r="C43" s="62"/>
      <c r="E43" s="59"/>
      <c r="F43" s="60"/>
      <c r="G43" s="60"/>
      <c r="H43" s="61"/>
    </row>
    <row r="44" spans="1:8" ht="16.5">
      <c r="A44" s="57"/>
      <c r="B44" s="58"/>
      <c r="C44" s="62"/>
      <c r="E44" s="59"/>
      <c r="F44" s="60"/>
      <c r="G44" s="60"/>
      <c r="H44" s="61"/>
    </row>
    <row r="45" spans="1:8" ht="16.5">
      <c r="A45" s="57"/>
      <c r="B45" s="58"/>
      <c r="C45" s="62"/>
      <c r="E45" s="59"/>
      <c r="F45" s="60"/>
      <c r="G45" s="60"/>
      <c r="H45" s="61"/>
    </row>
    <row r="46" spans="1:8" ht="16.5">
      <c r="A46" s="57"/>
      <c r="B46" s="58"/>
      <c r="C46" s="62"/>
      <c r="E46" s="59"/>
      <c r="F46" s="60"/>
      <c r="G46" s="60"/>
      <c r="H46" s="61"/>
    </row>
    <row r="47" spans="1:8" ht="16.5">
      <c r="A47" s="57"/>
      <c r="B47" s="58"/>
      <c r="C47" s="62"/>
      <c r="E47" s="59"/>
      <c r="F47" s="60"/>
      <c r="G47" s="60"/>
      <c r="H47" s="64"/>
    </row>
    <row r="48" spans="1:8" ht="16.5">
      <c r="A48" s="57"/>
      <c r="B48" s="58"/>
      <c r="C48" s="62"/>
      <c r="E48" s="59"/>
      <c r="F48" s="60"/>
      <c r="G48" s="60"/>
      <c r="H48" s="64"/>
    </row>
    <row r="49" spans="1:8" ht="16.5">
      <c r="A49" s="57"/>
      <c r="B49" s="58"/>
      <c r="C49" s="62"/>
      <c r="E49" s="59"/>
      <c r="F49" s="60"/>
      <c r="G49" s="60"/>
      <c r="H49" s="64"/>
    </row>
    <row r="50" spans="1:8" ht="16.5">
      <c r="A50" s="57"/>
      <c r="B50" s="58"/>
      <c r="C50" s="62"/>
      <c r="E50" s="59"/>
      <c r="F50" s="60"/>
      <c r="G50" s="60"/>
      <c r="H50" s="64"/>
    </row>
    <row r="51" spans="1:8" ht="16.5">
      <c r="A51" s="57"/>
      <c r="B51" s="58"/>
      <c r="C51" s="67"/>
      <c r="E51" s="59"/>
      <c r="F51" s="60"/>
      <c r="G51" s="60"/>
      <c r="H51" s="64"/>
    </row>
    <row r="52" spans="1:8" ht="16.5">
      <c r="A52" s="57"/>
      <c r="B52" s="58"/>
      <c r="C52" s="67"/>
      <c r="E52" s="59"/>
      <c r="F52" s="60"/>
      <c r="G52" s="60"/>
      <c r="H52" s="64"/>
    </row>
    <row r="53" spans="1:8" ht="16.5">
      <c r="A53" s="57"/>
      <c r="B53" s="58"/>
      <c r="C53" s="67"/>
      <c r="E53" s="59"/>
      <c r="F53" s="60"/>
      <c r="G53" s="60"/>
      <c r="H53" s="64"/>
    </row>
    <row r="54" spans="1:8" ht="16.5">
      <c r="A54" s="57"/>
      <c r="B54" s="78"/>
      <c r="C54" s="67"/>
      <c r="E54" s="59"/>
      <c r="F54" s="60"/>
      <c r="G54" s="60"/>
      <c r="H54" s="64"/>
    </row>
    <row r="55" spans="1:8" ht="16.5">
      <c r="A55" s="57"/>
      <c r="B55" s="58"/>
      <c r="C55" s="62"/>
      <c r="E55" s="59"/>
      <c r="F55" s="60"/>
      <c r="G55" s="60"/>
      <c r="H55" s="61"/>
    </row>
    <row r="56" spans="1:8" ht="16.5">
      <c r="A56" s="57"/>
      <c r="B56" s="58"/>
      <c r="C56" s="62"/>
      <c r="E56" s="59"/>
      <c r="F56" s="60"/>
      <c r="G56" s="60"/>
      <c r="H56" s="61"/>
    </row>
    <row r="57" spans="1:8" ht="16.5">
      <c r="A57" s="57"/>
      <c r="B57" s="58"/>
      <c r="C57" s="58"/>
      <c r="E57" s="59"/>
      <c r="F57" s="60"/>
      <c r="G57" s="60"/>
      <c r="H57" s="61"/>
    </row>
    <row r="58" spans="1:8" ht="16.5">
      <c r="A58" s="57"/>
      <c r="B58" s="58"/>
      <c r="C58" s="58"/>
      <c r="E58" s="59"/>
      <c r="F58" s="60"/>
      <c r="G58" s="60"/>
      <c r="H58" s="61"/>
    </row>
    <row r="59" spans="1:8" ht="16.5">
      <c r="A59" s="57"/>
      <c r="B59" s="58"/>
      <c r="C59" s="58"/>
      <c r="E59" s="59"/>
      <c r="F59" s="60"/>
      <c r="G59" s="60"/>
      <c r="H59" s="61"/>
    </row>
    <row r="60" spans="1:8" ht="16.5">
      <c r="A60" s="57"/>
      <c r="B60" s="58"/>
      <c r="C60" s="62"/>
      <c r="E60" s="59"/>
      <c r="F60" s="60"/>
      <c r="G60" s="60"/>
      <c r="H60" s="64"/>
    </row>
    <row r="61" spans="1:8" ht="16.5">
      <c r="A61" s="57"/>
      <c r="B61" s="58"/>
      <c r="C61" s="58"/>
      <c r="E61" s="59"/>
      <c r="F61" s="60"/>
      <c r="G61" s="60"/>
      <c r="H61" s="61"/>
    </row>
    <row r="62" spans="1:8" ht="16.5">
      <c r="A62" s="57"/>
      <c r="B62" s="58"/>
      <c r="C62" s="58"/>
      <c r="E62" s="59"/>
      <c r="F62" s="60"/>
      <c r="G62" s="60"/>
      <c r="H62" s="64"/>
    </row>
    <row r="63" spans="1:8" ht="16.5">
      <c r="A63" s="57"/>
      <c r="B63" s="66"/>
      <c r="C63" s="66"/>
      <c r="E63" s="79"/>
      <c r="F63" s="65"/>
      <c r="G63" s="60"/>
      <c r="H63" s="64"/>
    </row>
    <row r="64" spans="1:8" ht="16.5">
      <c r="A64" s="57"/>
      <c r="B64" s="58"/>
      <c r="C64" s="58"/>
      <c r="E64" s="59"/>
      <c r="F64" s="60"/>
      <c r="G64" s="60"/>
      <c r="H64" s="61"/>
    </row>
    <row r="65" spans="1:8" ht="16.5">
      <c r="A65" s="57"/>
      <c r="B65" s="58"/>
      <c r="C65" s="80"/>
      <c r="E65" s="59"/>
      <c r="F65" s="60"/>
      <c r="G65" s="60"/>
      <c r="H65" s="61"/>
    </row>
    <row r="69" spans="1:8" ht="16.5">
      <c r="A69" s="57"/>
      <c r="B69" s="66"/>
      <c r="C69" s="58"/>
      <c r="E69" s="59"/>
      <c r="F69" s="60"/>
      <c r="G69" s="60"/>
      <c r="H69" s="61"/>
    </row>
    <row r="70" spans="1:8" ht="16.5">
      <c r="A70" s="57"/>
      <c r="B70" s="66"/>
      <c r="C70" s="62"/>
      <c r="E70" s="59"/>
      <c r="F70" s="60"/>
      <c r="G70" s="60"/>
      <c r="H70" s="61"/>
    </row>
    <row r="71" spans="1:8" ht="16.5">
      <c r="A71" s="57"/>
      <c r="B71" s="66"/>
      <c r="C71" s="62"/>
      <c r="E71" s="59"/>
      <c r="F71" s="60"/>
      <c r="G71" s="60"/>
      <c r="H71" s="61"/>
    </row>
    <row r="72" spans="1:8" ht="16.5">
      <c r="A72" s="57"/>
      <c r="B72" s="66"/>
      <c r="C72" s="62"/>
      <c r="E72" s="59"/>
      <c r="F72" s="60"/>
      <c r="G72" s="60"/>
      <c r="H72" s="61"/>
    </row>
    <row r="73" spans="1:8" ht="16.5">
      <c r="A73" s="57"/>
      <c r="B73" s="81"/>
      <c r="C73" s="80"/>
      <c r="E73" s="59"/>
      <c r="F73" s="60"/>
      <c r="G73" s="60"/>
      <c r="H73" s="61"/>
    </row>
    <row r="74" spans="1:8" ht="16.5">
      <c r="A74" s="57"/>
      <c r="B74" s="81"/>
      <c r="C74" s="80"/>
      <c r="E74" s="59"/>
      <c r="F74" s="60"/>
      <c r="G74" s="60"/>
      <c r="H74" s="64"/>
    </row>
    <row r="75" spans="1:8" ht="16.5">
      <c r="A75" s="57"/>
      <c r="B75" s="66"/>
      <c r="C75" s="82"/>
      <c r="E75" s="59"/>
      <c r="F75" s="60"/>
      <c r="G75" s="60"/>
      <c r="H75" s="61"/>
    </row>
    <row r="76" spans="1:8" ht="16.5">
      <c r="A76" s="57"/>
      <c r="B76" s="66"/>
      <c r="C76" s="83"/>
      <c r="E76" s="59"/>
      <c r="F76" s="60"/>
      <c r="G76" s="60"/>
      <c r="H76" s="64"/>
    </row>
    <row r="77" spans="1:8" ht="16.5">
      <c r="A77" s="57"/>
      <c r="B77" s="66"/>
      <c r="C77" s="82"/>
      <c r="E77" s="59"/>
      <c r="F77" s="65"/>
      <c r="G77" s="60"/>
      <c r="H77" s="64"/>
    </row>
    <row r="78" spans="1:8" ht="16.5">
      <c r="A78" s="57"/>
      <c r="B78" s="66"/>
      <c r="C78" s="82"/>
      <c r="E78" s="59"/>
      <c r="F78" s="60"/>
      <c r="G78" s="60"/>
      <c r="H78" s="61"/>
    </row>
    <row r="79" spans="1:8" ht="16.5">
      <c r="A79" s="57"/>
      <c r="B79" s="66"/>
      <c r="C79" s="82"/>
      <c r="E79" s="59"/>
      <c r="F79" s="60"/>
      <c r="G79" s="60"/>
      <c r="H79" s="61"/>
    </row>
    <row r="80" spans="1:8" ht="16.5">
      <c r="A80" s="57"/>
      <c r="B80" s="66"/>
      <c r="C80" s="82"/>
      <c r="E80" s="59"/>
      <c r="F80" s="65"/>
      <c r="G80" s="60"/>
      <c r="H80" s="61"/>
    </row>
    <row r="81" spans="1:8" ht="16.5">
      <c r="A81" s="57"/>
      <c r="B81" s="66"/>
      <c r="C81" s="80"/>
      <c r="E81" s="59"/>
      <c r="F81" s="65"/>
      <c r="G81" s="60"/>
      <c r="H81" s="61"/>
    </row>
    <row r="82" spans="1:8" ht="16.5">
      <c r="A82" s="57"/>
      <c r="B82" s="66"/>
      <c r="C82" s="82"/>
      <c r="E82" s="59"/>
      <c r="F82" s="60"/>
      <c r="G82" s="60"/>
      <c r="H82" s="61"/>
    </row>
    <row r="83" spans="1:8" ht="16.5">
      <c r="A83" s="57"/>
      <c r="B83" s="66"/>
      <c r="C83" s="83"/>
      <c r="E83" s="59"/>
      <c r="F83" s="60"/>
      <c r="G83" s="60"/>
      <c r="H83" s="61"/>
    </row>
    <row r="84" spans="1:8" ht="16.5">
      <c r="A84" s="57"/>
      <c r="B84" s="66"/>
      <c r="C84" s="82"/>
      <c r="E84" s="59"/>
      <c r="F84" s="60"/>
      <c r="G84" s="60"/>
      <c r="H84" s="61"/>
    </row>
    <row r="85" spans="1:8" ht="16.5">
      <c r="A85" s="57"/>
      <c r="B85" s="66"/>
      <c r="C85" s="83"/>
      <c r="E85" s="59"/>
      <c r="F85" s="60"/>
      <c r="G85" s="60"/>
      <c r="H85" s="61"/>
    </row>
    <row r="86" spans="1:8" ht="16.5">
      <c r="A86" s="57"/>
      <c r="B86" s="81"/>
      <c r="C86" s="80"/>
      <c r="E86" s="59"/>
      <c r="F86" s="60"/>
      <c r="G86" s="60"/>
      <c r="H86" s="61"/>
    </row>
    <row r="87" spans="1:8" ht="16.5">
      <c r="A87" s="57"/>
      <c r="B87" s="81"/>
      <c r="C87" s="80"/>
      <c r="E87" s="59"/>
      <c r="F87" s="60"/>
      <c r="G87" s="60"/>
      <c r="H87" s="61"/>
    </row>
    <row r="88" spans="1:8" ht="16.5">
      <c r="A88" s="57"/>
      <c r="B88" s="81"/>
      <c r="C88" s="80"/>
      <c r="E88" s="59"/>
      <c r="F88" s="60"/>
      <c r="G88" s="60"/>
      <c r="H88" s="64"/>
    </row>
    <row r="89" spans="1:8" ht="16.5">
      <c r="A89" s="57"/>
      <c r="B89" s="66"/>
      <c r="C89" s="80"/>
      <c r="E89" s="59"/>
      <c r="F89" s="60"/>
      <c r="G89" s="60"/>
      <c r="H89" s="64"/>
    </row>
    <row r="90" spans="1:8" ht="16.5">
      <c r="A90" s="57"/>
      <c r="B90" s="66"/>
      <c r="C90" s="80"/>
      <c r="E90" s="59"/>
      <c r="F90" s="60"/>
      <c r="G90" s="60"/>
      <c r="H90" s="64"/>
    </row>
    <row r="91" spans="1:8" ht="16.5">
      <c r="A91" s="57"/>
      <c r="B91" s="66"/>
      <c r="C91" s="80"/>
      <c r="E91" s="59"/>
      <c r="F91" s="60"/>
      <c r="G91" s="60"/>
      <c r="H91" s="64"/>
    </row>
    <row r="92" spans="1:8" ht="16.5">
      <c r="A92" s="57"/>
      <c r="B92" s="81"/>
      <c r="C92" s="80"/>
      <c r="E92" s="59"/>
      <c r="F92" s="60"/>
      <c r="G92" s="60"/>
      <c r="H92" s="64"/>
    </row>
    <row r="93" spans="1:8" ht="16.5">
      <c r="A93" s="57"/>
      <c r="B93" s="81"/>
      <c r="C93" s="80"/>
      <c r="E93" s="59"/>
      <c r="F93" s="60"/>
      <c r="G93" s="60"/>
      <c r="H93" s="64"/>
    </row>
    <row r="94" spans="1:8">
      <c r="B94" s="81"/>
      <c r="C94" s="84"/>
      <c r="E94" s="59"/>
      <c r="F94" s="60"/>
      <c r="G94" s="60"/>
      <c r="H94" s="64"/>
    </row>
    <row r="95" spans="1:8" ht="16.5">
      <c r="A95" s="57"/>
      <c r="B95" s="66"/>
      <c r="C95" s="85"/>
      <c r="E95" s="86"/>
      <c r="F95" s="60"/>
      <c r="G95" s="60"/>
      <c r="H95" s="61"/>
    </row>
    <row r="96" spans="1:8" ht="16.5">
      <c r="A96" s="57"/>
      <c r="B96" s="87"/>
      <c r="C96" s="85"/>
      <c r="E96" s="59"/>
      <c r="F96" s="60"/>
      <c r="G96" s="60"/>
      <c r="H96" s="61"/>
    </row>
    <row r="97" spans="1:8" ht="16.5">
      <c r="A97" s="57"/>
      <c r="B97" s="81"/>
      <c r="C97" s="85"/>
      <c r="E97" s="59"/>
      <c r="F97" s="60"/>
      <c r="G97" s="60"/>
      <c r="H97" s="61"/>
    </row>
    <row r="98" spans="1:8" ht="16.5">
      <c r="A98" s="57"/>
      <c r="B98" s="81"/>
      <c r="C98" s="85"/>
      <c r="E98" s="59"/>
      <c r="F98" s="60"/>
      <c r="G98" s="60"/>
      <c r="H98" s="64"/>
    </row>
    <row r="99" spans="1:8" ht="16.5">
      <c r="A99" s="57"/>
      <c r="B99" s="81"/>
      <c r="C99" s="85"/>
      <c r="E99" s="59"/>
      <c r="F99" s="60"/>
      <c r="G99" s="60"/>
      <c r="H99" s="61"/>
    </row>
    <row r="100" spans="1:8" ht="16.5">
      <c r="A100" s="57"/>
      <c r="B100" s="81"/>
      <c r="C100" s="85"/>
      <c r="E100" s="59"/>
      <c r="F100" s="60"/>
      <c r="G100" s="60"/>
      <c r="H100" s="64"/>
    </row>
    <row r="101" spans="1:8" ht="16.5">
      <c r="A101" s="57"/>
      <c r="B101" s="66"/>
      <c r="C101" s="82"/>
      <c r="E101" s="59"/>
      <c r="F101" s="65"/>
      <c r="G101" s="60"/>
      <c r="H101" s="64"/>
    </row>
    <row r="102" spans="1:8" ht="16.5">
      <c r="A102" s="57"/>
      <c r="B102" s="66"/>
      <c r="C102" s="82"/>
      <c r="E102" s="79"/>
      <c r="F102" s="60"/>
      <c r="G102" s="60"/>
      <c r="H102" s="61"/>
    </row>
    <row r="103" spans="1:8" ht="16.5">
      <c r="A103" s="57"/>
      <c r="B103" s="66"/>
      <c r="C103" s="82"/>
      <c r="E103" s="79"/>
      <c r="F103" s="60"/>
      <c r="G103" s="60"/>
      <c r="H103" s="61"/>
    </row>
    <row r="104" spans="1:8" ht="16.5">
      <c r="A104" s="57"/>
      <c r="B104" s="81"/>
      <c r="C104" s="80"/>
      <c r="E104" s="88"/>
      <c r="F104" s="65"/>
      <c r="G104" s="60"/>
      <c r="H104" s="61"/>
    </row>
    <row r="105" spans="1:8" ht="16.5">
      <c r="A105" s="57"/>
      <c r="B105" s="66"/>
      <c r="C105" s="82"/>
      <c r="E105" s="59"/>
      <c r="F105" s="65"/>
      <c r="G105" s="60"/>
      <c r="H105" s="61"/>
    </row>
    <row r="106" spans="1:8" ht="16.5">
      <c r="A106" s="57"/>
      <c r="B106" s="66"/>
      <c r="C106" s="82"/>
      <c r="E106" s="59"/>
      <c r="F106" s="60"/>
      <c r="G106" s="60"/>
      <c r="H106" s="61"/>
    </row>
    <row r="107" spans="1:8" ht="16.5">
      <c r="A107" s="57"/>
      <c r="B107" s="66"/>
      <c r="C107" s="82"/>
      <c r="E107" s="59"/>
      <c r="F107" s="60"/>
      <c r="G107" s="60"/>
      <c r="H107" s="61"/>
    </row>
    <row r="108" spans="1:8" ht="16.5">
      <c r="A108" s="57"/>
      <c r="B108" s="66"/>
      <c r="C108" s="82"/>
      <c r="E108" s="59"/>
      <c r="F108" s="60"/>
      <c r="G108" s="60"/>
      <c r="H108" s="61"/>
    </row>
    <row r="109" spans="1:8" ht="16.5">
      <c r="A109" s="57"/>
      <c r="B109" s="66"/>
      <c r="C109" s="82"/>
      <c r="E109" s="59"/>
      <c r="F109" s="60"/>
      <c r="G109" s="60"/>
      <c r="H109" s="61"/>
    </row>
    <row r="110" spans="1:8" ht="16.5">
      <c r="A110" s="57"/>
      <c r="B110" s="66"/>
      <c r="C110" s="80"/>
      <c r="E110" s="59"/>
      <c r="F110" s="60"/>
      <c r="G110" s="60"/>
      <c r="H110" s="61"/>
    </row>
    <row r="111" spans="1:8" ht="16.5">
      <c r="A111" s="57"/>
      <c r="B111" s="66"/>
      <c r="C111" s="80"/>
      <c r="E111" s="59"/>
      <c r="F111" s="60"/>
      <c r="G111" s="60"/>
      <c r="H111" s="61"/>
    </row>
    <row r="112" spans="1:8" ht="16.5">
      <c r="A112" s="57"/>
      <c r="B112" s="66"/>
      <c r="C112" s="80"/>
      <c r="E112" s="59"/>
      <c r="F112" s="60"/>
      <c r="G112" s="60"/>
      <c r="H112" s="64"/>
    </row>
    <row r="113" spans="1:8" ht="16.5">
      <c r="A113" s="57"/>
      <c r="B113" s="81"/>
      <c r="C113" s="80"/>
      <c r="E113" s="59"/>
      <c r="F113" s="60"/>
      <c r="G113" s="60"/>
      <c r="H113" s="64"/>
    </row>
    <row r="114" spans="1:8" ht="16.5">
      <c r="A114" s="57"/>
      <c r="B114" s="81"/>
      <c r="C114" s="80"/>
      <c r="E114" s="59"/>
      <c r="F114" s="60"/>
      <c r="G114" s="60"/>
      <c r="H114" s="64"/>
    </row>
    <row r="115" spans="1:8" ht="16.5">
      <c r="A115" s="57"/>
      <c r="B115" s="81"/>
      <c r="C115" s="80"/>
      <c r="E115" s="59"/>
      <c r="F115" s="60"/>
      <c r="G115" s="60"/>
      <c r="H115" s="64"/>
    </row>
    <row r="116" spans="1:8" ht="16.5">
      <c r="A116" s="57"/>
      <c r="B116" s="81"/>
      <c r="C116" s="80"/>
      <c r="E116" s="59"/>
      <c r="F116" s="60"/>
      <c r="G116" s="60"/>
      <c r="H116" s="64"/>
    </row>
    <row r="119" spans="1:8">
      <c r="B119" s="89"/>
    </row>
    <row r="120" spans="1:8" ht="16.5">
      <c r="A120" s="57"/>
      <c r="B120" s="58"/>
      <c r="C120" s="58"/>
      <c r="D120" s="80"/>
      <c r="E120" s="59"/>
      <c r="F120" s="60"/>
      <c r="G120" s="60"/>
      <c r="H120" s="61"/>
    </row>
    <row r="121" spans="1:8" ht="16.5">
      <c r="A121" s="57"/>
      <c r="B121" s="90"/>
      <c r="C121" s="58"/>
      <c r="D121" s="80"/>
      <c r="E121" s="59"/>
      <c r="F121" s="60"/>
      <c r="G121" s="60"/>
      <c r="H121" s="61"/>
    </row>
    <row r="122" spans="1:8" ht="16.5">
      <c r="A122" s="57"/>
      <c r="B122" s="90"/>
      <c r="C122" s="58"/>
      <c r="D122" s="80"/>
      <c r="E122" s="59"/>
      <c r="F122" s="60"/>
      <c r="G122" s="60"/>
      <c r="H122" s="61"/>
    </row>
    <row r="123" spans="1:8" ht="16.5">
      <c r="A123" s="57"/>
      <c r="B123" s="90"/>
      <c r="C123" s="58"/>
      <c r="D123" s="80"/>
      <c r="E123" s="59"/>
      <c r="F123" s="60"/>
      <c r="G123" s="60"/>
      <c r="H123" s="61"/>
    </row>
    <row r="124" spans="1:8" ht="16.5">
      <c r="A124" s="57"/>
      <c r="B124" s="91"/>
      <c r="C124" s="58"/>
      <c r="D124" s="66"/>
      <c r="E124" s="59"/>
      <c r="F124" s="60"/>
      <c r="G124" s="60"/>
      <c r="H124" s="61"/>
    </row>
    <row r="125" spans="1:8" ht="16.5">
      <c r="A125" s="57"/>
      <c r="B125" s="87"/>
      <c r="C125" s="66"/>
      <c r="D125" s="66"/>
      <c r="E125" s="59"/>
      <c r="F125" s="60"/>
      <c r="G125" s="60"/>
      <c r="H125" s="61"/>
    </row>
    <row r="126" spans="1:8" ht="16.5">
      <c r="A126" s="57"/>
      <c r="B126" s="81"/>
      <c r="C126" s="66"/>
      <c r="D126" s="80"/>
      <c r="E126" s="59"/>
      <c r="F126" s="60"/>
      <c r="G126" s="60"/>
      <c r="H126" s="61"/>
    </row>
    <row r="127" spans="1:8" ht="16.5">
      <c r="A127" s="57"/>
      <c r="B127" s="66"/>
      <c r="D127" s="84"/>
      <c r="E127" s="59"/>
      <c r="F127" s="60"/>
      <c r="G127" s="60"/>
      <c r="H127" s="64"/>
    </row>
    <row r="128" spans="1:8" ht="16.5">
      <c r="C128" s="57"/>
      <c r="D128" s="92"/>
      <c r="E128" s="59"/>
      <c r="F128" s="65"/>
      <c r="G128" s="60"/>
      <c r="H128" s="64"/>
    </row>
    <row r="129" spans="1:8" ht="16.5">
      <c r="A129" s="57"/>
      <c r="B129" s="58"/>
      <c r="C129" s="67"/>
      <c r="D129" s="82"/>
      <c r="E129" s="59"/>
      <c r="F129" s="60"/>
      <c r="G129" s="60"/>
      <c r="H129" s="61"/>
    </row>
    <row r="130" spans="1:8" ht="16.5">
      <c r="A130" s="57"/>
      <c r="B130" s="67"/>
      <c r="C130" s="67"/>
      <c r="D130" s="82"/>
      <c r="E130" s="59"/>
      <c r="F130" s="60"/>
      <c r="G130" s="60"/>
      <c r="H130" s="61"/>
    </row>
    <row r="131" spans="1:8" ht="16.5">
      <c r="A131" s="57"/>
      <c r="B131" s="87"/>
      <c r="C131" s="58"/>
      <c r="D131" s="92"/>
      <c r="E131" s="59"/>
      <c r="F131" s="65"/>
      <c r="G131" s="60"/>
      <c r="H131" s="61"/>
    </row>
    <row r="132" spans="1:8" ht="16.5">
      <c r="A132" s="57"/>
      <c r="B132" s="87"/>
      <c r="C132" s="58"/>
      <c r="D132" s="82"/>
      <c r="E132" s="59"/>
      <c r="F132" s="65"/>
      <c r="G132" s="60"/>
      <c r="H132" s="61"/>
    </row>
    <row r="133" spans="1:8" ht="16.5">
      <c r="A133" s="57"/>
      <c r="B133" s="90"/>
      <c r="C133" s="58"/>
      <c r="D133" s="82"/>
      <c r="E133" s="59"/>
      <c r="F133" s="60"/>
      <c r="G133" s="60"/>
      <c r="H133" s="61"/>
    </row>
    <row r="134" spans="1:8" ht="16.5">
      <c r="A134" s="57"/>
      <c r="B134" s="90"/>
      <c r="C134" s="58"/>
      <c r="D134" s="80"/>
      <c r="E134" s="59"/>
      <c r="F134" s="60"/>
      <c r="G134" s="60"/>
      <c r="H134" s="61"/>
    </row>
    <row r="135" spans="1:8" ht="16.5">
      <c r="A135" s="57"/>
      <c r="B135" s="91"/>
      <c r="C135" s="90"/>
      <c r="D135" s="80"/>
      <c r="E135" s="59"/>
      <c r="F135" s="60"/>
      <c r="G135" s="60"/>
      <c r="H135" s="61"/>
    </row>
    <row r="136" spans="1:8" ht="16.5">
      <c r="A136" s="57"/>
      <c r="B136" s="87"/>
      <c r="C136" s="58"/>
      <c r="D136" s="80"/>
      <c r="E136" s="59"/>
      <c r="F136" s="60"/>
      <c r="G136" s="60"/>
      <c r="H136" s="61"/>
    </row>
    <row r="137" spans="1:8" ht="16.5">
      <c r="A137" s="57"/>
      <c r="B137" s="87"/>
      <c r="C137" s="58"/>
      <c r="D137" s="80"/>
      <c r="E137" s="59"/>
      <c r="F137" s="60"/>
      <c r="G137" s="60"/>
      <c r="H137" s="61"/>
    </row>
    <row r="138" spans="1:8" ht="16.5">
      <c r="A138" s="57"/>
      <c r="B138" s="87"/>
      <c r="C138" s="58"/>
      <c r="D138" s="80"/>
      <c r="E138" s="59"/>
      <c r="F138" s="60"/>
      <c r="G138" s="60"/>
      <c r="H138" s="61"/>
    </row>
    <row r="139" spans="1:8" ht="16.5">
      <c r="A139" s="57"/>
      <c r="B139" s="87"/>
      <c r="C139" s="58"/>
      <c r="D139" s="80"/>
      <c r="E139" s="59"/>
      <c r="F139" s="60"/>
      <c r="G139" s="60"/>
      <c r="H139" s="61"/>
    </row>
    <row r="140" spans="1:8" ht="16.5">
      <c r="A140" s="57"/>
      <c r="B140" s="81"/>
      <c r="C140" s="66"/>
      <c r="D140" s="80"/>
      <c r="E140" s="59"/>
      <c r="F140" s="60"/>
      <c r="G140" s="60"/>
      <c r="H140" s="61"/>
    </row>
    <row r="141" spans="1:8" ht="16.5">
      <c r="A141" s="57"/>
      <c r="B141" s="66"/>
      <c r="C141" s="66"/>
      <c r="D141" s="80"/>
      <c r="E141" s="59"/>
      <c r="F141" s="60"/>
      <c r="G141" s="60"/>
      <c r="H141" s="61"/>
    </row>
    <row r="142" spans="1:8" ht="16.5">
      <c r="A142" s="57"/>
      <c r="B142" s="58"/>
      <c r="C142" s="66"/>
      <c r="D142" s="80"/>
      <c r="E142" s="59"/>
      <c r="F142" s="60"/>
      <c r="G142" s="60"/>
      <c r="H142" s="61"/>
    </row>
    <row r="143" spans="1:8" ht="16.5">
      <c r="A143" s="57"/>
      <c r="B143" s="66"/>
      <c r="C143" s="66"/>
      <c r="D143" s="84"/>
      <c r="E143" s="59"/>
      <c r="F143" s="60"/>
      <c r="G143" s="60"/>
      <c r="H143" s="64"/>
    </row>
    <row r="144" spans="1:8" ht="16.5">
      <c r="A144" s="57"/>
      <c r="B144" s="66"/>
      <c r="C144" s="67"/>
      <c r="E144" s="59"/>
      <c r="F144" s="60"/>
      <c r="G144" s="60"/>
      <c r="H144" s="64"/>
    </row>
    <row r="145" spans="1:8" ht="16.5">
      <c r="A145" s="57"/>
      <c r="B145" s="81"/>
      <c r="C145" s="67"/>
      <c r="D145" s="66"/>
      <c r="E145" s="59"/>
      <c r="F145" s="60"/>
      <c r="G145" s="60"/>
      <c r="H145" s="64"/>
    </row>
    <row r="146" spans="1:8" ht="16.5">
      <c r="A146" s="57"/>
      <c r="B146" s="66"/>
      <c r="D146" s="66"/>
      <c r="E146" s="59"/>
      <c r="F146" s="60"/>
      <c r="G146" s="60"/>
      <c r="H146" s="64"/>
    </row>
    <row r="147" spans="1:8" ht="16.5">
      <c r="A147" s="57"/>
      <c r="B147" s="81"/>
      <c r="D147" s="66"/>
      <c r="E147" s="59"/>
      <c r="F147" s="60"/>
      <c r="G147" s="60"/>
      <c r="H147" s="64"/>
    </row>
    <row r="151" spans="1:8" ht="16.5">
      <c r="A151" s="57"/>
      <c r="B151" s="58"/>
      <c r="C151" s="62"/>
      <c r="E151" s="59"/>
      <c r="F151" s="60"/>
      <c r="G151" s="60"/>
      <c r="H151" s="61"/>
    </row>
    <row r="152" spans="1:8" ht="16.5">
      <c r="A152" s="57"/>
      <c r="B152" s="58"/>
      <c r="C152" s="58"/>
      <c r="E152" s="59"/>
      <c r="F152" s="60"/>
      <c r="G152" s="60"/>
      <c r="H152" s="61"/>
    </row>
    <row r="153" spans="1:8" ht="16.5">
      <c r="A153" s="57"/>
      <c r="B153" s="58"/>
      <c r="C153" s="58"/>
      <c r="E153" s="59"/>
      <c r="F153" s="60"/>
      <c r="G153" s="60"/>
      <c r="H153" s="61"/>
    </row>
    <row r="154" spans="1:8" ht="16.5">
      <c r="A154" s="57"/>
      <c r="B154" s="58"/>
      <c r="C154" s="58"/>
      <c r="E154" s="59"/>
      <c r="F154" s="60"/>
      <c r="G154" s="60"/>
      <c r="H154" s="61"/>
    </row>
    <row r="155" spans="1:8" ht="16.5">
      <c r="A155" s="57"/>
      <c r="B155" s="58"/>
      <c r="C155" s="58"/>
      <c r="E155" s="59"/>
      <c r="F155" s="60"/>
      <c r="G155" s="60"/>
      <c r="H155" s="64"/>
    </row>
    <row r="156" spans="1:8" ht="16.5">
      <c r="A156" s="57"/>
      <c r="B156" s="58"/>
      <c r="C156" s="58"/>
      <c r="E156" s="59"/>
      <c r="F156" s="60"/>
      <c r="G156" s="60"/>
      <c r="H156" s="61"/>
    </row>
    <row r="157" spans="1:8" ht="16.5">
      <c r="A157" s="57"/>
      <c r="B157" s="58"/>
      <c r="C157" s="58"/>
      <c r="E157" s="59"/>
      <c r="F157" s="60"/>
      <c r="G157" s="60"/>
      <c r="H157" s="64"/>
    </row>
    <row r="158" spans="1:8" ht="16.5">
      <c r="A158" s="57"/>
      <c r="B158" s="58"/>
      <c r="C158" s="58"/>
      <c r="E158" s="59"/>
      <c r="F158" s="65"/>
      <c r="G158" s="60"/>
      <c r="H158" s="64"/>
    </row>
    <row r="159" spans="1:8" ht="16.5">
      <c r="A159" s="57"/>
      <c r="B159" s="58"/>
      <c r="C159" s="58"/>
      <c r="E159" s="59"/>
      <c r="F159" s="60"/>
      <c r="G159" s="60"/>
      <c r="H159" s="61"/>
    </row>
    <row r="160" spans="1:8" ht="16.5">
      <c r="A160" s="57"/>
      <c r="B160" s="58"/>
      <c r="C160" s="58"/>
      <c r="E160" s="59"/>
      <c r="F160" s="60"/>
      <c r="G160" s="60"/>
      <c r="H160" s="61"/>
    </row>
    <row r="161" spans="1:8" ht="16.5">
      <c r="A161" s="57"/>
      <c r="B161" s="66"/>
      <c r="C161" s="66"/>
      <c r="E161" s="59"/>
      <c r="F161" s="65"/>
      <c r="G161" s="60"/>
      <c r="H161" s="61"/>
    </row>
    <row r="162" spans="1:8" ht="16.5">
      <c r="A162" s="57"/>
      <c r="B162" s="66"/>
      <c r="C162" s="66"/>
      <c r="E162" s="59"/>
      <c r="F162" s="65"/>
      <c r="G162" s="60"/>
      <c r="H162" s="61"/>
    </row>
    <row r="163" spans="1:8" ht="16.5">
      <c r="A163" s="57"/>
      <c r="B163" s="81"/>
      <c r="C163" s="80"/>
      <c r="E163" s="59"/>
      <c r="F163" s="65"/>
      <c r="G163" s="60"/>
      <c r="H163" s="61"/>
    </row>
    <row r="164" spans="1:8" ht="16.5">
      <c r="A164" s="57"/>
      <c r="B164" s="81"/>
      <c r="C164" s="80"/>
      <c r="E164" s="59"/>
      <c r="F164" s="60"/>
      <c r="G164" s="60"/>
      <c r="H164" s="61"/>
    </row>
  </sheetData>
  <sheetProtection algorithmName="SHA-512" hashValue="rEBC4Iq/979QmzNqIkE66RNbh5MsDDy65bPAlrehaKIM619Yp+aueVkjV8t3PjEdySL79SamWg1hT7DBZ9Sk+w==" saltValue="t36hZ4z8+XeT/6m7pfdCI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Hoja5">
    <tabColor rgb="FFFF0000"/>
  </sheetPr>
  <dimension ref="A1:Z251"/>
  <sheetViews>
    <sheetView topLeftCell="AA1" workbookViewId="0">
      <selection activeCell="AA1" sqref="AA1"/>
    </sheetView>
  </sheetViews>
  <sheetFormatPr baseColWidth="10" defaultRowHeight="15"/>
  <cols>
    <col min="1" max="1" width="16.42578125" style="63" hidden="1" customWidth="1"/>
    <col min="2" max="2" width="18.42578125" style="63" hidden="1" customWidth="1"/>
    <col min="3" max="3" width="11.85546875" style="63" hidden="1" customWidth="1"/>
    <col min="4" max="26" width="10.7109375" style="63" hidden="1" customWidth="1"/>
  </cols>
  <sheetData>
    <row r="1" spans="1:10">
      <c r="A1" s="63" t="s">
        <v>307</v>
      </c>
      <c r="B1" s="63" t="s">
        <v>308</v>
      </c>
      <c r="H1" s="139" t="s">
        <v>1072</v>
      </c>
      <c r="I1" s="63" t="s">
        <v>1068</v>
      </c>
      <c r="J1" s="63" t="s">
        <v>1067</v>
      </c>
    </row>
    <row r="2" spans="1:10" ht="16.5">
      <c r="A2" s="57" t="s">
        <v>1</v>
      </c>
      <c r="B2" s="63" t="e">
        <f>VLOOKUP(A2,Datos_presupuesto!A1:H252,5,FALSE)+VLOOKUP(A2,Datos_presupuesto!A1:H252,6,FALSE)+VLOOKUP(A2,Datos_presupuesto!A1:H252,7,FALSE)+VLOOKUP(A2,Datos_presupuesto!A1:H252,8,FALSE)</f>
        <v>#N/A</v>
      </c>
      <c r="H2" s="139"/>
      <c r="I2" s="63" t="s">
        <v>1069</v>
      </c>
      <c r="J2" s="63" t="s">
        <v>1070</v>
      </c>
    </row>
    <row r="3" spans="1:10" ht="16.5">
      <c r="A3" s="57" t="s">
        <v>2</v>
      </c>
      <c r="B3" s="63" t="e">
        <f>VLOOKUP(A3,Datos_presupuesto!A2:H253,5,FALSE)+VLOOKUP(A3,Datos_presupuesto!A2:H253,6,FALSE)+VLOOKUP(A3,Datos_presupuesto!A2:H253,7,FALSE)+VLOOKUP(A3,Datos_presupuesto!A2:H253,8,FALSE)</f>
        <v>#N/A</v>
      </c>
      <c r="H3" s="139"/>
      <c r="I3" s="63" t="s">
        <v>1071</v>
      </c>
      <c r="J3" s="63" t="s">
        <v>154</v>
      </c>
    </row>
    <row r="4" spans="1:10" ht="16.5">
      <c r="A4" s="57" t="s">
        <v>3</v>
      </c>
      <c r="B4" s="63" t="e">
        <f>VLOOKUP(A4,Datos_presupuesto!A3:H254,5,FALSE)+VLOOKUP(A4,Datos_presupuesto!A3:H254,6,FALSE)+VLOOKUP(A4,Datos_presupuesto!A3:H254,7,FALSE)+VLOOKUP(A4,Datos_presupuesto!A3:H254,8,FALSE)</f>
        <v>#N/A</v>
      </c>
    </row>
    <row r="5" spans="1:10" ht="16.5">
      <c r="A5" s="57" t="s">
        <v>4</v>
      </c>
      <c r="B5" s="63" t="e">
        <f>VLOOKUP(A5,Datos_presupuesto!A4:H255,5,FALSE)+VLOOKUP(A5,Datos_presupuesto!A4:H255,6,FALSE)+VLOOKUP(A5,Datos_presupuesto!A4:H255,7,FALSE)+VLOOKUP(A5,Datos_presupuesto!A4:H255,8,FALSE)</f>
        <v>#N/A</v>
      </c>
      <c r="I5" s="63" t="s">
        <v>1073</v>
      </c>
      <c r="J5" s="63" t="s">
        <v>1074</v>
      </c>
    </row>
    <row r="6" spans="1:10" ht="16.5">
      <c r="A6" s="57" t="s">
        <v>5</v>
      </c>
      <c r="B6" s="63" t="e">
        <f>VLOOKUP(A6,Datos_presupuesto!A5:H256,5,FALSE)+VLOOKUP(A6,Datos_presupuesto!A5:H256,6,FALSE)+VLOOKUP(A6,Datos_presupuesto!A5:H256,7,FALSE)+VLOOKUP(A6,Datos_presupuesto!A5:H256,8,FALSE)</f>
        <v>#N/A</v>
      </c>
      <c r="I6" s="63" t="s">
        <v>1075</v>
      </c>
      <c r="J6" s="63" t="s">
        <v>1076</v>
      </c>
    </row>
    <row r="7" spans="1:10" ht="16.5">
      <c r="A7" s="57" t="s">
        <v>6</v>
      </c>
      <c r="B7" s="63" t="e">
        <f>VLOOKUP(A7,Datos_presupuesto!A6:H257,5,FALSE)+VLOOKUP(A7,Datos_presupuesto!A6:H257,6,FALSE)+VLOOKUP(A7,Datos_presupuesto!A6:H257,7,FALSE)+VLOOKUP(A7,Datos_presupuesto!A6:H257,8,FALSE)</f>
        <v>#N/A</v>
      </c>
      <c r="C7" s="63" t="e">
        <f>SUM(B2:B7)*'Factores de emision'!D28</f>
        <v>#N/A</v>
      </c>
    </row>
    <row r="8" spans="1:10" ht="16.5">
      <c r="A8" s="57"/>
    </row>
    <row r="9" spans="1:10" ht="16.5">
      <c r="A9" s="57" t="s">
        <v>7</v>
      </c>
      <c r="B9" s="63" t="e">
        <f>VLOOKUP(A9,Datos_presupuesto!A8:H259,5,FALSE)+VLOOKUP(A9,Datos_presupuesto!A8:H259,6,FALSE)+VLOOKUP(A9,Datos_presupuesto!A8:H259,7,FALSE)+VLOOKUP(A9,Datos_presupuesto!A8:H259,8,FALSE)</f>
        <v>#N/A</v>
      </c>
    </row>
    <row r="10" spans="1:10" ht="16.5">
      <c r="A10" s="57" t="s">
        <v>8</v>
      </c>
      <c r="B10" s="63" t="e">
        <f>VLOOKUP(A10,Datos_presupuesto!A9:H260,5,FALSE)+VLOOKUP(A10,Datos_presupuesto!A9:H260,6,FALSE)+VLOOKUP(A10,Datos_presupuesto!A9:H260,7,FALSE)+VLOOKUP(A10,Datos_presupuesto!A9:H260,8,FALSE)</f>
        <v>#N/A</v>
      </c>
      <c r="C10" s="63" t="e">
        <f>B9+B10*'Factores de emision'!D28/10</f>
        <v>#N/A</v>
      </c>
      <c r="E10" s="63" t="s">
        <v>1068</v>
      </c>
      <c r="F10" s="63" t="e">
        <f>C7+C10</f>
        <v>#N/A</v>
      </c>
    </row>
    <row r="12" spans="1:10" ht="16.5">
      <c r="A12" s="57" t="s">
        <v>9</v>
      </c>
      <c r="B12" s="63" t="e">
        <f>VLOOKUP(A12,Datos_presupuesto!A11:H262,5,FALSE)+VLOOKUP(A12,Datos_presupuesto!A11:H262,6,FALSE)+VLOOKUP(A12,Datos_presupuesto!A11:H262,7,FALSE)+VLOOKUP(A12,Datos_presupuesto!A11:H262,8,FALSE)</f>
        <v>#N/A</v>
      </c>
    </row>
    <row r="13" spans="1:10" ht="16.5">
      <c r="A13" s="57" t="s">
        <v>10</v>
      </c>
      <c r="B13" s="63" t="e">
        <f>VLOOKUP(A13,Datos_presupuesto!A12:H263,5,FALSE)+VLOOKUP(A13,Datos_presupuesto!A12:H263,6,FALSE)+VLOOKUP(A13,Datos_presupuesto!A12:H263,7,FALSE)+VLOOKUP(A13,Datos_presupuesto!A12:H263,8,FALSE)</f>
        <v>#N/A</v>
      </c>
      <c r="C13" s="63" t="e">
        <f>B12+B13*'Factores de emision'!D28/10</f>
        <v>#N/A</v>
      </c>
    </row>
    <row r="15" spans="1:10" ht="16.5">
      <c r="A15" s="57" t="s">
        <v>11</v>
      </c>
      <c r="B15" s="63" t="e">
        <f>VLOOKUP(A15,Datos_presupuesto!A14:H265,5,FALSE)+VLOOKUP(A15,Datos_presupuesto!A14:H265,6,FALSE)+VLOOKUP(A15,Datos_presupuesto!A14:H265,7,FALSE)+VLOOKUP(A15,Datos_presupuesto!A14:H265,8,FALSE)</f>
        <v>#N/A</v>
      </c>
    </row>
    <row r="16" spans="1:10" ht="16.5">
      <c r="A16" s="57" t="s">
        <v>0</v>
      </c>
      <c r="B16" s="63" t="e">
        <f>VLOOKUP(A16,Datos_presupuesto!A15:H266,5,FALSE)+VLOOKUP(A16,Datos_presupuesto!A15:H266,6,FALSE)+VLOOKUP(A16,Datos_presupuesto!A15:H266,7,FALSE)+VLOOKUP(A16,Datos_presupuesto!A15:H266,8,FALSE)</f>
        <v>#N/A</v>
      </c>
    </row>
    <row r="17" spans="1:6" ht="16.5">
      <c r="A17" s="57" t="s">
        <v>12</v>
      </c>
      <c r="B17" s="63" t="e">
        <f>VLOOKUP(A17,Datos_presupuesto!A16:H267,5,FALSE)+VLOOKUP(A17,Datos_presupuesto!A16:H267,6,FALSE)+VLOOKUP(A17,Datos_presupuesto!A16:H267,7,FALSE)+VLOOKUP(A17,Datos_presupuesto!A16:H267,8,FALSE)</f>
        <v>#N/A</v>
      </c>
    </row>
    <row r="18" spans="1:6" ht="16.5">
      <c r="A18" s="57" t="s">
        <v>13</v>
      </c>
      <c r="B18" s="63" t="e">
        <f>VLOOKUP(A18,Datos_presupuesto!A17:H268,5,FALSE)+VLOOKUP(A18,Datos_presupuesto!A17:H268,6,FALSE)+VLOOKUP(A18,Datos_presupuesto!A17:H268,7,FALSE)+VLOOKUP(A18,Datos_presupuesto!A17:H268,8,FALSE)</f>
        <v>#N/A</v>
      </c>
      <c r="C18" s="63" t="e">
        <f>SUM(B15:B18)*'Factores de emision'!D28</f>
        <v>#N/A</v>
      </c>
      <c r="E18" s="63" t="s">
        <v>1069</v>
      </c>
      <c r="F18" s="63" t="e">
        <f>C18</f>
        <v>#N/A</v>
      </c>
    </row>
    <row r="20" spans="1:6" ht="16.5">
      <c r="A20" s="57" t="s">
        <v>14</v>
      </c>
      <c r="B20" s="63" t="e">
        <f>VLOOKUP(A20,Datos_presupuesto!A19:H270,5,FALSE)+VLOOKUP(A20,Datos_presupuesto!A19:H270,6,FALSE)+VLOOKUP(A20,Datos_presupuesto!A19:H270,7,FALSE)+VLOOKUP(A20,Datos_presupuesto!A19:H270,8,FALSE)</f>
        <v>#N/A</v>
      </c>
    </row>
    <row r="21" spans="1:6" ht="16.5">
      <c r="A21" s="57" t="s">
        <v>15</v>
      </c>
      <c r="B21" s="63" t="e">
        <f>VLOOKUP(A21,Datos_presupuesto!A20:H271,5,FALSE)+VLOOKUP(A21,Datos_presupuesto!A20:H271,6,FALSE)+VLOOKUP(A21,Datos_presupuesto!A20:H271,7,FALSE)+VLOOKUP(A21,Datos_presupuesto!A20:H271,8,FALSE)</f>
        <v>#N/A</v>
      </c>
    </row>
    <row r="22" spans="1:6" ht="16.5">
      <c r="A22" s="57" t="s">
        <v>16</v>
      </c>
      <c r="B22" s="63" t="e">
        <f>VLOOKUP(A22,Datos_presupuesto!A21:H272,5,FALSE)+VLOOKUP(A22,Datos_presupuesto!A21:H272,6,FALSE)+VLOOKUP(A22,Datos_presupuesto!A21:H272,7,FALSE)+VLOOKUP(A22,Datos_presupuesto!A21:H272,8,FALSE)</f>
        <v>#N/A</v>
      </c>
    </row>
    <row r="23" spans="1:6" ht="16.5">
      <c r="A23" s="57" t="s">
        <v>17</v>
      </c>
      <c r="B23" s="63" t="e">
        <f>VLOOKUP(A23,Datos_presupuesto!A22:H273,5,FALSE)+VLOOKUP(A23,Datos_presupuesto!A22:H273,6,FALSE)+VLOOKUP(A23,Datos_presupuesto!A22:H273,7,FALSE)+VLOOKUP(A23,Datos_presupuesto!A22:H273,8,FALSE)</f>
        <v>#N/A</v>
      </c>
    </row>
    <row r="24" spans="1:6" ht="16.5">
      <c r="A24" s="57" t="s">
        <v>18</v>
      </c>
      <c r="B24" s="63" t="e">
        <f>VLOOKUP(A24,Datos_presupuesto!A23:H274,5,FALSE)+VLOOKUP(A24,Datos_presupuesto!A23:H274,6,FALSE)+VLOOKUP(A24,Datos_presupuesto!A23:H274,7,FALSE)+VLOOKUP(A24,Datos_presupuesto!A23:H274,8,FALSE)</f>
        <v>#N/A</v>
      </c>
    </row>
    <row r="25" spans="1:6" ht="16.5">
      <c r="A25" s="57" t="s">
        <v>19</v>
      </c>
      <c r="B25" s="63" t="e">
        <f>VLOOKUP(A25,Datos_presupuesto!A24:H275,5,FALSE)+VLOOKUP(A25,Datos_presupuesto!A24:H275,6,FALSE)+VLOOKUP(A25,Datos_presupuesto!A24:H275,7,FALSE)+VLOOKUP(A25,Datos_presupuesto!A24:H275,8,FALSE)</f>
        <v>#N/A</v>
      </c>
      <c r="C25" s="63" t="e">
        <f>SUM((B20/10)+B21+B22+B23+B24+B25)*'Factores de emision'!D42</f>
        <v>#N/A</v>
      </c>
      <c r="E25" s="63" t="s">
        <v>1071</v>
      </c>
      <c r="F25" s="63" t="e">
        <f>C25</f>
        <v>#N/A</v>
      </c>
    </row>
    <row r="27" spans="1:6" ht="16.5">
      <c r="A27" s="57" t="s">
        <v>20</v>
      </c>
      <c r="B27" s="63" t="e">
        <f>VLOOKUP(A27,Datos_presupuesto!A26:H277,5,FALSE)+VLOOKUP(A27,Datos_presupuesto!A26:H277,6,FALSE)+VLOOKUP(A27,Datos_presupuesto!A26:H277,7,FALSE)+VLOOKUP(A27,Datos_presupuesto!A26:H277,8,FALSE)</f>
        <v>#N/A</v>
      </c>
    </row>
    <row r="28" spans="1:6" ht="16.5">
      <c r="A28" s="57" t="s">
        <v>21</v>
      </c>
      <c r="B28" s="63" t="e">
        <f>VLOOKUP(A28,Datos_presupuesto!A27:H278,5,FALSE)+VLOOKUP(A28,Datos_presupuesto!A27:H278,6,FALSE)+VLOOKUP(A28,Datos_presupuesto!A27:H278,7,FALSE)+VLOOKUP(A28,Datos_presupuesto!A27:H278,8,FALSE)</f>
        <v>#N/A</v>
      </c>
    </row>
    <row r="29" spans="1:6" ht="16.5">
      <c r="A29" s="57" t="s">
        <v>22</v>
      </c>
      <c r="B29" s="63" t="e">
        <f>VLOOKUP(A29,Datos_presupuesto!A28:H279,5,FALSE)+VLOOKUP(A29,Datos_presupuesto!A28:H279,6,FALSE)+VLOOKUP(A29,Datos_presupuesto!A28:H279,7,FALSE)+VLOOKUP(A29,Datos_presupuesto!A28:H279,8,FALSE)</f>
        <v>#N/A</v>
      </c>
    </row>
    <row r="30" spans="1:6" ht="16.5">
      <c r="A30" s="57" t="s">
        <v>23</v>
      </c>
      <c r="B30" s="63" t="e">
        <f>VLOOKUP(A30,Datos_presupuesto!A29:H280,5,FALSE)+VLOOKUP(A30,Datos_presupuesto!A29:H280,6,FALSE)+VLOOKUP(A30,Datos_presupuesto!A29:H280,7,FALSE)+VLOOKUP(A30,Datos_presupuesto!A29:H280,8,FALSE)</f>
        <v>#N/A</v>
      </c>
    </row>
    <row r="31" spans="1:6" ht="16.5">
      <c r="A31" s="57" t="s">
        <v>24</v>
      </c>
      <c r="B31" s="63" t="e">
        <f>VLOOKUP(A31,Datos_presupuesto!A30:H281,5,FALSE)+VLOOKUP(A31,Datos_presupuesto!A30:H281,6,FALSE)+VLOOKUP(A31,Datos_presupuesto!A30:H281,7,FALSE)+VLOOKUP(A31,Datos_presupuesto!A30:H281,8,FALSE)</f>
        <v>#N/A</v>
      </c>
    </row>
    <row r="32" spans="1:6" ht="16.5">
      <c r="A32" s="57" t="s">
        <v>25</v>
      </c>
      <c r="B32" s="63" t="e">
        <f>VLOOKUP(A32,Datos_presupuesto!A31:H282,5,FALSE)+VLOOKUP(A32,Datos_presupuesto!A31:H282,6,FALSE)+VLOOKUP(A32,Datos_presupuesto!A31:H282,7,FALSE)+VLOOKUP(A32,Datos_presupuesto!A31:H282,8,FALSE)</f>
        <v>#N/A</v>
      </c>
    </row>
    <row r="33" spans="1:6" ht="16.5">
      <c r="A33" s="57" t="s">
        <v>26</v>
      </c>
      <c r="B33" s="63" t="e">
        <f>VLOOKUP(A33,Datos_presupuesto!A32:H283,5,FALSE)+VLOOKUP(A33,Datos_presupuesto!A32:H283,6,FALSE)+VLOOKUP(A33,Datos_presupuesto!A32:H283,7,FALSE)+VLOOKUP(A33,Datos_presupuesto!A32:H283,8,FALSE)</f>
        <v>#N/A</v>
      </c>
    </row>
    <row r="34" spans="1:6" ht="16.5">
      <c r="A34" s="57" t="s">
        <v>27</v>
      </c>
      <c r="B34" s="63" t="e">
        <f>VLOOKUP(A34,Datos_presupuesto!A33:H284,5,FALSE)+VLOOKUP(A34,Datos_presupuesto!A33:H284,6,FALSE)+VLOOKUP(A34,Datos_presupuesto!A33:H284,7,FALSE)+VLOOKUP(A34,Datos_presupuesto!A33:H284,8,FALSE)</f>
        <v>#N/A</v>
      </c>
    </row>
    <row r="35" spans="1:6" ht="16.5">
      <c r="A35" s="57" t="s">
        <v>28</v>
      </c>
      <c r="B35" s="63" t="e">
        <f>VLOOKUP(A35,Datos_presupuesto!A34:H285,5,FALSE)+VLOOKUP(A35,Datos_presupuesto!A34:H285,6,FALSE)+VLOOKUP(A35,Datos_presupuesto!A34:H285,7,FALSE)+VLOOKUP(A35,Datos_presupuesto!A34:H285,8,FALSE)</f>
        <v>#N/A</v>
      </c>
    </row>
    <row r="36" spans="1:6" ht="16.5">
      <c r="A36" s="57" t="s">
        <v>29</v>
      </c>
      <c r="B36" s="63" t="e">
        <f>VLOOKUP(A36,Datos_presupuesto!A35:H286,5,FALSE)+VLOOKUP(A36,Datos_presupuesto!A35:H286,6,FALSE)+VLOOKUP(A36,Datos_presupuesto!A35:H286,7,FALSE)+VLOOKUP(A36,Datos_presupuesto!A35:H286,8,FALSE)</f>
        <v>#N/A</v>
      </c>
    </row>
    <row r="37" spans="1:6" ht="16.5">
      <c r="A37" s="57" t="s">
        <v>30</v>
      </c>
      <c r="B37" s="63" t="e">
        <f>VLOOKUP(A37,Datos_presupuesto!A36:H287,5,FALSE)+VLOOKUP(A37,Datos_presupuesto!A36:H287,6,FALSE)+VLOOKUP(A37,Datos_presupuesto!A36:H287,7,FALSE)+VLOOKUP(A37,Datos_presupuesto!A36:H287,8,FALSE)</f>
        <v>#N/A</v>
      </c>
    </row>
    <row r="38" spans="1:6">
      <c r="C38" s="63" t="e">
        <f>(B27+B28)*'Factores de emision'!D33+B29*'Factores de emision'!D43+('Calculos 1'!B35+'Calculos 1'!B36)*'Factores de emision'!D30</f>
        <v>#N/A</v>
      </c>
      <c r="E38" s="63" t="s">
        <v>1073</v>
      </c>
      <c r="F38" s="63" t="e">
        <f>C38</f>
        <v>#N/A</v>
      </c>
    </row>
    <row r="39" spans="1:6" ht="16.5">
      <c r="A39" s="57" t="s">
        <v>31</v>
      </c>
      <c r="B39" s="63" t="e">
        <f>VLOOKUP(A39,Datos_presupuesto!A38:H289,5,FALSE)+VLOOKUP(A39,Datos_presupuesto!A38:H289,6,FALSE)+VLOOKUP(A39,Datos_presupuesto!A38:H289,7,FALSE)+VLOOKUP(A39,Datos_presupuesto!A38:H289,8,FALSE)</f>
        <v>#N/A</v>
      </c>
    </row>
    <row r="40" spans="1:6" ht="16.5">
      <c r="A40" s="57" t="s">
        <v>32</v>
      </c>
      <c r="B40" s="63" t="e">
        <f>VLOOKUP(A40,Datos_presupuesto!A39:H290,5,FALSE)+VLOOKUP(A40,Datos_presupuesto!A39:H290,6,FALSE)+VLOOKUP(A40,Datos_presupuesto!A39:H290,7,FALSE)+VLOOKUP(A40,Datos_presupuesto!A39:H290,8,FALSE)</f>
        <v>#N/A</v>
      </c>
    </row>
    <row r="41" spans="1:6" ht="16.5">
      <c r="A41" s="57" t="s">
        <v>33</v>
      </c>
      <c r="B41" s="63" t="e">
        <f>VLOOKUP(A41,Datos_presupuesto!A40:H291,5,FALSE)+VLOOKUP(A41,Datos_presupuesto!A40:H291,6,FALSE)+VLOOKUP(A41,Datos_presupuesto!A40:H291,7,FALSE)+VLOOKUP(A41,Datos_presupuesto!A40:H291,8,FALSE)</f>
        <v>#N/A</v>
      </c>
    </row>
    <row r="42" spans="1:6" ht="16.5">
      <c r="A42" s="57" t="s">
        <v>34</v>
      </c>
      <c r="B42" s="63" t="e">
        <f>VLOOKUP(A42,Datos_presupuesto!A41:H292,5,FALSE)+VLOOKUP(A42,Datos_presupuesto!A41:H292,6,FALSE)+VLOOKUP(A42,Datos_presupuesto!A41:H292,7,FALSE)+VLOOKUP(A42,Datos_presupuesto!A41:H292,8,FALSE)</f>
        <v>#N/A</v>
      </c>
    </row>
    <row r="43" spans="1:6" ht="16.5">
      <c r="A43" s="57" t="s">
        <v>35</v>
      </c>
      <c r="B43" s="63" t="e">
        <f>VLOOKUP(A43,Datos_presupuesto!A42:H293,5,FALSE)+VLOOKUP(A43,Datos_presupuesto!A42:H293,6,FALSE)+VLOOKUP(A43,Datos_presupuesto!A42:H293,7,FALSE)+VLOOKUP(A43,Datos_presupuesto!A42:H293,8,FALSE)</f>
        <v>#N/A</v>
      </c>
    </row>
    <row r="44" spans="1:6" ht="16.5">
      <c r="A44" s="57" t="s">
        <v>36</v>
      </c>
      <c r="B44" s="63" t="e">
        <f>VLOOKUP(A44,Datos_presupuesto!A43:H294,5,FALSE)+VLOOKUP(A44,Datos_presupuesto!A43:H294,6,FALSE)+VLOOKUP(A44,Datos_presupuesto!A43:H294,7,FALSE)+VLOOKUP(A44,Datos_presupuesto!A43:H294,8,FALSE)</f>
        <v>#N/A</v>
      </c>
    </row>
    <row r="45" spans="1:6" ht="16.5">
      <c r="A45" s="57" t="s">
        <v>37</v>
      </c>
      <c r="B45" s="63" t="e">
        <f>VLOOKUP(A45,Datos_presupuesto!A44:H295,5,FALSE)+VLOOKUP(A45,Datos_presupuesto!A44:H295,6,FALSE)+VLOOKUP(A45,Datos_presupuesto!A44:H295,7,FALSE)+VLOOKUP(A45,Datos_presupuesto!A44:H295,8,FALSE)</f>
        <v>#N/A</v>
      </c>
    </row>
    <row r="46" spans="1:6" ht="16.5">
      <c r="A46" s="57" t="s">
        <v>38</v>
      </c>
      <c r="B46" s="63" t="e">
        <f>VLOOKUP(A46,Datos_presupuesto!A45:H296,5,FALSE)+VLOOKUP(A46,Datos_presupuesto!A45:H296,6,FALSE)+VLOOKUP(A46,Datos_presupuesto!A45:H296,7,FALSE)+VLOOKUP(A46,Datos_presupuesto!A45:H296,8,FALSE)</f>
        <v>#N/A</v>
      </c>
    </row>
    <row r="47" spans="1:6" ht="16.5">
      <c r="A47" s="57" t="s">
        <v>39</v>
      </c>
      <c r="B47" s="63" t="e">
        <f>VLOOKUP(A47,Datos_presupuesto!A46:H297,5,FALSE)+VLOOKUP(A47,Datos_presupuesto!A46:H297,6,FALSE)+VLOOKUP(A47,Datos_presupuesto!A46:H297,7,FALSE)+VLOOKUP(A47,Datos_presupuesto!A46:H297,8,FALSE)</f>
        <v>#N/A</v>
      </c>
    </row>
    <row r="48" spans="1:6" ht="16.5">
      <c r="A48" s="57" t="s">
        <v>40</v>
      </c>
      <c r="B48" s="63" t="e">
        <f>VLOOKUP(A48,Datos_presupuesto!A47:H298,5,FALSE)+VLOOKUP(A48,Datos_presupuesto!A47:H298,6,FALSE)+VLOOKUP(A48,Datos_presupuesto!A47:H298,7,FALSE)+VLOOKUP(A48,Datos_presupuesto!A47:H298,8,FALSE)</f>
        <v>#N/A</v>
      </c>
    </row>
    <row r="49" spans="1:6" ht="16.5">
      <c r="A49" s="57" t="s">
        <v>41</v>
      </c>
      <c r="B49" s="63" t="e">
        <f>VLOOKUP(A49,Datos_presupuesto!A48:H299,5,FALSE)+VLOOKUP(A49,Datos_presupuesto!A48:H299,6,FALSE)+VLOOKUP(A49,Datos_presupuesto!A48:H299,7,FALSE)+VLOOKUP(A49,Datos_presupuesto!A48:H299,8,FALSE)</f>
        <v>#N/A</v>
      </c>
    </row>
    <row r="50" spans="1:6" ht="16.5">
      <c r="A50" s="57" t="s">
        <v>42</v>
      </c>
      <c r="B50" s="63" t="e">
        <f>VLOOKUP(A50,Datos_presupuesto!A49:H300,5,FALSE)+VLOOKUP(A50,Datos_presupuesto!A49:H300,6,FALSE)+VLOOKUP(A50,Datos_presupuesto!A49:H300,7,FALSE)+VLOOKUP(A50,Datos_presupuesto!A49:H300,8,FALSE)</f>
        <v>#N/A</v>
      </c>
    </row>
    <row r="51" spans="1:6" ht="16.5">
      <c r="A51" s="57" t="s">
        <v>43</v>
      </c>
      <c r="B51" s="63" t="e">
        <f>VLOOKUP(A51,Datos_presupuesto!A50:H301,5,FALSE)+VLOOKUP(A51,Datos_presupuesto!A50:H301,6,FALSE)+VLOOKUP(A51,Datos_presupuesto!A50:H301,7,FALSE)+VLOOKUP(A51,Datos_presupuesto!A50:H301,8,FALSE)</f>
        <v>#N/A</v>
      </c>
    </row>
    <row r="52" spans="1:6" ht="16.5">
      <c r="A52" s="57" t="s">
        <v>44</v>
      </c>
      <c r="B52" s="63" t="e">
        <f>VLOOKUP(A52,Datos_presupuesto!A51:H302,5,FALSE)+VLOOKUP(A52,Datos_presupuesto!A51:H302,6,FALSE)+VLOOKUP(A52,Datos_presupuesto!A51:H302,7,FALSE)+VLOOKUP(A52,Datos_presupuesto!A51:H302,8,FALSE)</f>
        <v>#N/A</v>
      </c>
    </row>
    <row r="53" spans="1:6" ht="16.5">
      <c r="A53" s="57" t="s">
        <v>45</v>
      </c>
      <c r="B53" s="63" t="e">
        <f>VLOOKUP(A53,Datos_presupuesto!A52:H303,5,FALSE)+VLOOKUP(A53,Datos_presupuesto!A52:H303,6,FALSE)+VLOOKUP(A53,Datos_presupuesto!A52:H303,7,FALSE)+VLOOKUP(A53,Datos_presupuesto!A52:H303,8,FALSE)</f>
        <v>#N/A</v>
      </c>
    </row>
    <row r="54" spans="1:6" ht="16.5">
      <c r="A54" s="57" t="s">
        <v>46</v>
      </c>
      <c r="B54" s="63" t="e">
        <f>VLOOKUP(A54,Datos_presupuesto!A53:H304,5,FALSE)+VLOOKUP(A54,Datos_presupuesto!A53:H304,6,FALSE)+VLOOKUP(A54,Datos_presupuesto!A53:H304,7,FALSE)+VLOOKUP(A54,Datos_presupuesto!A53:H304,8,FALSE)</f>
        <v>#N/A</v>
      </c>
    </row>
    <row r="55" spans="1:6" ht="16.5">
      <c r="A55" s="57" t="s">
        <v>47</v>
      </c>
      <c r="B55" s="63" t="e">
        <f>VLOOKUP(A55,Datos_presupuesto!A54:H305,5,FALSE)+VLOOKUP(A55,Datos_presupuesto!A54:H305,6,FALSE)+VLOOKUP(A55,Datos_presupuesto!A54:H305,7,FALSE)+VLOOKUP(A55,Datos_presupuesto!A54:H305,8,FALSE)</f>
        <v>#N/A</v>
      </c>
    </row>
    <row r="56" spans="1:6" ht="16.5">
      <c r="A56" s="57" t="s">
        <v>48</v>
      </c>
      <c r="B56" s="63" t="e">
        <f>VLOOKUP(A56,Datos_presupuesto!A55:H306,5,FALSE)+VLOOKUP(A56,Datos_presupuesto!A55:H306,6,FALSE)+VLOOKUP(A56,Datos_presupuesto!A55:H306,7,FALSE)+VLOOKUP(A56,Datos_presupuesto!A55:H306,8,FALSE)</f>
        <v>#N/A</v>
      </c>
    </row>
    <row r="57" spans="1:6" ht="16.5">
      <c r="A57" s="57" t="s">
        <v>0</v>
      </c>
      <c r="B57" s="63" t="e">
        <f>VLOOKUP(A57,Datos_presupuesto!A56:H307,5,FALSE)+VLOOKUP(A57,Datos_presupuesto!A56:H307,6,FALSE)+VLOOKUP(A57,Datos_presupuesto!A56:H307,7,FALSE)+VLOOKUP(A57,Datos_presupuesto!A56:H307,8,FALSE)</f>
        <v>#N/A</v>
      </c>
    </row>
    <row r="58" spans="1:6" ht="16.5">
      <c r="A58" s="57" t="s">
        <v>49</v>
      </c>
      <c r="B58" s="63" t="e">
        <f>VLOOKUP(A58,Datos_presupuesto!A57:H308,5,FALSE)+VLOOKUP(A58,Datos_presupuesto!A57:H308,6,FALSE)+VLOOKUP(A58,Datos_presupuesto!A57:H308,7,FALSE)+VLOOKUP(A58,Datos_presupuesto!A57:H308,8,FALSE)</f>
        <v>#N/A</v>
      </c>
    </row>
    <row r="59" spans="1:6" ht="16.5">
      <c r="A59" s="57" t="s">
        <v>50</v>
      </c>
      <c r="B59" s="63" t="e">
        <f>VLOOKUP(A59,Datos_presupuesto!A58:H309,5,FALSE)+VLOOKUP(A59,Datos_presupuesto!A58:H309,6,FALSE)+VLOOKUP(A59,Datos_presupuesto!A58:H309,7,FALSE)+VLOOKUP(A59,Datos_presupuesto!A58:H309,8,FALSE)</f>
        <v>#N/A</v>
      </c>
    </row>
    <row r="60" spans="1:6" ht="16.5">
      <c r="A60" s="57" t="s">
        <v>51</v>
      </c>
      <c r="B60" s="63" t="e">
        <f>VLOOKUP(A60,Datos_presupuesto!A59:H310,5,FALSE)+VLOOKUP(A60,Datos_presupuesto!A59:H310,6,FALSE)+VLOOKUP(A60,Datos_presupuesto!A59:H310,7,FALSE)+VLOOKUP(A60,Datos_presupuesto!A59:H310,8,FALSE)</f>
        <v>#N/A</v>
      </c>
    </row>
    <row r="61" spans="1:6" ht="16.5">
      <c r="A61" s="57" t="s">
        <v>52</v>
      </c>
      <c r="B61" s="63" t="e">
        <f>VLOOKUP(A61,Datos_presupuesto!A60:H311,5,FALSE)+VLOOKUP(A61,Datos_presupuesto!A60:H311,6,FALSE)+VLOOKUP(A61,Datos_presupuesto!A60:H311,7,FALSE)+VLOOKUP(A61,Datos_presupuesto!A60:H311,8,FALSE)</f>
        <v>#N/A</v>
      </c>
    </row>
    <row r="62" spans="1:6" ht="16.5">
      <c r="A62" s="57"/>
      <c r="C62" s="63" t="e">
        <f>SUM(B39:B44)*'Factores de emision'!D41+'Calculos 1'!B45*'Factores de emision'!D41/10+'Calculos 1'!B46*'Factores de emision'!D38/10+'Calculos 1'!B47*'Factores de emision'!D41+SUM(B48:B53)*'Factores de emision'!D38+'Calculos 1'!B54/1.25*'Calculos 1'!D8+SUM(B59:B61)*'Factores de emision'!D41</f>
        <v>#N/A</v>
      </c>
      <c r="E62" s="63" t="s">
        <v>1075</v>
      </c>
      <c r="F62" s="63" t="e">
        <f>C62</f>
        <v>#N/A</v>
      </c>
    </row>
    <row r="63" spans="1:6" ht="16.5">
      <c r="A63" s="57"/>
    </row>
    <row r="64" spans="1:6" ht="16.5">
      <c r="A64" s="57" t="s">
        <v>53</v>
      </c>
      <c r="B64" s="63" t="e">
        <f>VLOOKUP(A64,Datos_presupuesto!A63:H314,5,FALSE)+VLOOKUP(A64,Datos_presupuesto!A63:H314,6,FALSE)+VLOOKUP(A64,Datos_presupuesto!A63:H314,7,FALSE)+VLOOKUP(A64,Datos_presupuesto!A63:H314,8,FALSE)</f>
        <v>#N/A</v>
      </c>
    </row>
    <row r="65" spans="1:2" ht="16.5">
      <c r="A65" s="57" t="s">
        <v>54</v>
      </c>
      <c r="B65" s="63" t="e">
        <f>VLOOKUP(A65,Datos_presupuesto!A64:H315,5,FALSE)+VLOOKUP(A65,Datos_presupuesto!A64:H315,6,FALSE)+VLOOKUP(A65,Datos_presupuesto!A64:H315,7,FALSE)+VLOOKUP(A65,Datos_presupuesto!A64:H315,8,FALSE)</f>
        <v>#N/A</v>
      </c>
    </row>
    <row r="66" spans="1:2" ht="16.5">
      <c r="A66" s="57" t="s">
        <v>55</v>
      </c>
      <c r="B66" s="63" t="e">
        <f>VLOOKUP(A66,Datos_presupuesto!A65:H316,5,FALSE)+VLOOKUP(A66,Datos_presupuesto!A65:H316,6,FALSE)+VLOOKUP(A66,Datos_presupuesto!A65:H316,7,FALSE)+VLOOKUP(A66,Datos_presupuesto!A65:H316,8,FALSE)</f>
        <v>#N/A</v>
      </c>
    </row>
    <row r="67" spans="1:2" ht="16.5">
      <c r="A67" s="57" t="s">
        <v>56</v>
      </c>
      <c r="B67" s="63" t="e">
        <f>VLOOKUP(A67,Datos_presupuesto!A66:H317,5,FALSE)+VLOOKUP(A67,Datos_presupuesto!A66:H317,6,FALSE)+VLOOKUP(A67,Datos_presupuesto!A66:H317,7,FALSE)+VLOOKUP(A67,Datos_presupuesto!A66:H317,8,FALSE)</f>
        <v>#N/A</v>
      </c>
    </row>
    <row r="68" spans="1:2" ht="16.5">
      <c r="A68" s="57" t="s">
        <v>57</v>
      </c>
      <c r="B68" s="63" t="e">
        <f>VLOOKUP(A68,Datos_presupuesto!A67:H318,5,FALSE)+VLOOKUP(A68,Datos_presupuesto!A67:H318,6,FALSE)+VLOOKUP(A68,Datos_presupuesto!A67:H318,7,FALSE)+VLOOKUP(A68,Datos_presupuesto!A67:H318,8,FALSE)</f>
        <v>#N/A</v>
      </c>
    </row>
    <row r="69" spans="1:2" ht="16.5">
      <c r="A69" s="57" t="s">
        <v>58</v>
      </c>
      <c r="B69" s="63" t="e">
        <f>VLOOKUP(A69,Datos_presupuesto!A68:H319,5,FALSE)+VLOOKUP(A69,Datos_presupuesto!A68:H319,6,FALSE)+VLOOKUP(A69,Datos_presupuesto!A68:H319,7,FALSE)+VLOOKUP(A69,Datos_presupuesto!A68:H319,8,FALSE)</f>
        <v>#N/A</v>
      </c>
    </row>
    <row r="70" spans="1:2" ht="16.5">
      <c r="A70" s="57" t="s">
        <v>59</v>
      </c>
      <c r="B70" s="63" t="e">
        <f>VLOOKUP(A70,Datos_presupuesto!A69:H320,5,FALSE)+VLOOKUP(A70,Datos_presupuesto!A69:H320,6,FALSE)+VLOOKUP(A70,Datos_presupuesto!A69:H320,7,FALSE)+VLOOKUP(A70,Datos_presupuesto!A69:H320,8,FALSE)</f>
        <v>#N/A</v>
      </c>
    </row>
    <row r="71" spans="1:2" ht="16.5">
      <c r="A71" s="57" t="s">
        <v>60</v>
      </c>
      <c r="B71" s="63" t="e">
        <f>VLOOKUP(A71,Datos_presupuesto!A70:H321,5,FALSE)+VLOOKUP(A71,Datos_presupuesto!A70:H321,6,FALSE)+VLOOKUP(A71,Datos_presupuesto!A70:H321,7,FALSE)+VLOOKUP(A71,Datos_presupuesto!A70:H321,8,FALSE)</f>
        <v>#N/A</v>
      </c>
    </row>
    <row r="72" spans="1:2" ht="16.5">
      <c r="A72" s="57" t="s">
        <v>61</v>
      </c>
      <c r="B72" s="63" t="e">
        <f>VLOOKUP(A72,Datos_presupuesto!A71:H322,5,FALSE)+VLOOKUP(A72,Datos_presupuesto!A71:H322,6,FALSE)+VLOOKUP(A72,Datos_presupuesto!A71:H322,7,FALSE)+VLOOKUP(A72,Datos_presupuesto!A71:H322,8,FALSE)</f>
        <v>#N/A</v>
      </c>
    </row>
    <row r="73" spans="1:2" ht="16.5">
      <c r="A73" s="57" t="s">
        <v>62</v>
      </c>
      <c r="B73" s="63" t="e">
        <f>VLOOKUP(A73,Datos_presupuesto!A72:H323,5,FALSE)+VLOOKUP(A73,Datos_presupuesto!A72:H323,6,FALSE)+VLOOKUP(A73,Datos_presupuesto!A72:H323,7,FALSE)+VLOOKUP(A73,Datos_presupuesto!A72:H323,8,FALSE)</f>
        <v>#N/A</v>
      </c>
    </row>
    <row r="74" spans="1:2" ht="16.5">
      <c r="A74" s="57" t="s">
        <v>63</v>
      </c>
      <c r="B74" s="63" t="e">
        <f>VLOOKUP(A74,Datos_presupuesto!A73:H324,5,FALSE)+VLOOKUP(A74,Datos_presupuesto!A73:H324,6,FALSE)+VLOOKUP(A74,Datos_presupuesto!A73:H324,7,FALSE)+VLOOKUP(A74,Datos_presupuesto!A73:H324,8,FALSE)</f>
        <v>#N/A</v>
      </c>
    </row>
    <row r="75" spans="1:2" ht="16.5">
      <c r="A75" s="57" t="s">
        <v>64</v>
      </c>
      <c r="B75" s="63" t="e">
        <f>VLOOKUP(A75,Datos_presupuesto!A74:H325,5,FALSE)+VLOOKUP(A75,Datos_presupuesto!A74:H325,6,FALSE)+VLOOKUP(A75,Datos_presupuesto!A74:H325,7,FALSE)+VLOOKUP(A75,Datos_presupuesto!A74:H325,8,FALSE)</f>
        <v>#N/A</v>
      </c>
    </row>
    <row r="76" spans="1:2" ht="16.5">
      <c r="A76" s="57" t="s">
        <v>65</v>
      </c>
      <c r="B76" s="63" t="e">
        <f>VLOOKUP(A76,Datos_presupuesto!A75:H326,5,FALSE)+VLOOKUP(A76,Datos_presupuesto!A75:H326,6,FALSE)+VLOOKUP(A76,Datos_presupuesto!A75:H326,7,FALSE)+VLOOKUP(A76,Datos_presupuesto!A75:H326,8,FALSE)</f>
        <v>#N/A</v>
      </c>
    </row>
    <row r="77" spans="1:2" ht="16.5">
      <c r="A77" s="57" t="s">
        <v>66</v>
      </c>
      <c r="B77" s="63" t="e">
        <f>VLOOKUP(A77,Datos_presupuesto!A76:H327,5,FALSE)+VLOOKUP(A77,Datos_presupuesto!A76:H327,6,FALSE)+VLOOKUP(A77,Datos_presupuesto!A76:H327,7,FALSE)+VLOOKUP(A77,Datos_presupuesto!A76:H327,8,FALSE)</f>
        <v>#N/A</v>
      </c>
    </row>
    <row r="78" spans="1:2" ht="16.5">
      <c r="A78" s="57" t="s">
        <v>67</v>
      </c>
      <c r="B78" s="63" t="e">
        <f>VLOOKUP(A78,Datos_presupuesto!A77:H328,5,FALSE)+VLOOKUP(A78,Datos_presupuesto!A77:H328,6,FALSE)+VLOOKUP(A78,Datos_presupuesto!A77:H328,7,FALSE)+VLOOKUP(A78,Datos_presupuesto!A77:H328,8,FALSE)</f>
        <v>#N/A</v>
      </c>
    </row>
    <row r="79" spans="1:2" ht="16.5">
      <c r="A79" s="57" t="s">
        <v>68</v>
      </c>
      <c r="B79" s="63" t="e">
        <f>VLOOKUP(A79,Datos_presupuesto!A78:H329,5,FALSE)+VLOOKUP(A79,Datos_presupuesto!A78:H329,6,FALSE)+VLOOKUP(A79,Datos_presupuesto!A78:H329,7,FALSE)+VLOOKUP(A79,Datos_presupuesto!A78:H329,8,FALSE)</f>
        <v>#N/A</v>
      </c>
    </row>
    <row r="80" spans="1:2" ht="16.5">
      <c r="A80" s="57" t="s">
        <v>69</v>
      </c>
      <c r="B80" s="63" t="e">
        <f>VLOOKUP(A80,Datos_presupuesto!A79:H330,5,FALSE)+VLOOKUP(A80,Datos_presupuesto!A79:H330,6,FALSE)+VLOOKUP(A80,Datos_presupuesto!A79:H330,7,FALSE)+VLOOKUP(A80,Datos_presupuesto!A79:H330,8,FALSE)</f>
        <v>#N/A</v>
      </c>
    </row>
    <row r="81" spans="1:2" ht="16.5">
      <c r="A81" s="57" t="s">
        <v>70</v>
      </c>
      <c r="B81" s="63" t="e">
        <f>VLOOKUP(A81,Datos_presupuesto!A80:H331,5,FALSE)+VLOOKUP(A81,Datos_presupuesto!A80:H331,6,FALSE)+VLOOKUP(A81,Datos_presupuesto!A80:H331,7,FALSE)+VLOOKUP(A81,Datos_presupuesto!A80:H331,8,FALSE)</f>
        <v>#N/A</v>
      </c>
    </row>
    <row r="82" spans="1:2" ht="16.5">
      <c r="A82" s="57" t="s">
        <v>71</v>
      </c>
      <c r="B82" s="63" t="e">
        <f>VLOOKUP(A82,Datos_presupuesto!A81:H332,5,FALSE)+VLOOKUP(A82,Datos_presupuesto!A81:H332,6,FALSE)+VLOOKUP(A82,Datos_presupuesto!A81:H332,7,FALSE)+VLOOKUP(A82,Datos_presupuesto!A81:H332,8,FALSE)</f>
        <v>#N/A</v>
      </c>
    </row>
    <row r="83" spans="1:2" ht="16.5">
      <c r="A83" s="57" t="s">
        <v>72</v>
      </c>
      <c r="B83" s="63" t="e">
        <f>VLOOKUP(A83,Datos_presupuesto!A82:H333,5,FALSE)+VLOOKUP(A83,Datos_presupuesto!A82:H333,6,FALSE)+VLOOKUP(A83,Datos_presupuesto!A82:H333,7,FALSE)+VLOOKUP(A83,Datos_presupuesto!A82:H333,8,FALSE)</f>
        <v>#N/A</v>
      </c>
    </row>
    <row r="84" spans="1:2" ht="16.5">
      <c r="A84" s="57" t="s">
        <v>73</v>
      </c>
      <c r="B84" s="63" t="e">
        <f>VLOOKUP(A84,Datos_presupuesto!A83:H334,5,FALSE)+VLOOKUP(A84,Datos_presupuesto!A83:H334,6,FALSE)+VLOOKUP(A84,Datos_presupuesto!A83:H334,7,FALSE)+VLOOKUP(A84,Datos_presupuesto!A83:H334,8,FALSE)</f>
        <v>#N/A</v>
      </c>
    </row>
    <row r="85" spans="1:2" ht="16.5">
      <c r="A85" s="57" t="s">
        <v>74</v>
      </c>
      <c r="B85" s="63" t="e">
        <f>VLOOKUP(A85,Datos_presupuesto!A84:H335,5,FALSE)+VLOOKUP(A85,Datos_presupuesto!A84:H335,6,FALSE)+VLOOKUP(A85,Datos_presupuesto!A84:H335,7,FALSE)+VLOOKUP(A85,Datos_presupuesto!A84:H335,8,FALSE)</f>
        <v>#N/A</v>
      </c>
    </row>
    <row r="87" spans="1:2" ht="16.5">
      <c r="A87" s="57" t="s">
        <v>75</v>
      </c>
      <c r="B87" s="63" t="e">
        <f>VLOOKUP(A87,Datos_presupuesto!A86:H337,5,FALSE)+VLOOKUP(A87,Datos_presupuesto!A86:H337,6,FALSE)+VLOOKUP(A87,Datos_presupuesto!A86:H337,7,FALSE)+VLOOKUP(A87,Datos_presupuesto!A86:H337,8,FALSE)</f>
        <v>#N/A</v>
      </c>
    </row>
    <row r="88" spans="1:2" ht="16.5">
      <c r="A88" s="57" t="s">
        <v>76</v>
      </c>
      <c r="B88" s="63" t="e">
        <f>VLOOKUP(A88,Datos_presupuesto!A87:H338,5,FALSE)+VLOOKUP(A88,Datos_presupuesto!A87:H338,6,FALSE)+VLOOKUP(A88,Datos_presupuesto!A87:H338,7,FALSE)+VLOOKUP(A88,Datos_presupuesto!A87:H338,8,FALSE)</f>
        <v>#N/A</v>
      </c>
    </row>
    <row r="89" spans="1:2" ht="16.5">
      <c r="A89" s="57" t="s">
        <v>77</v>
      </c>
      <c r="B89" s="63" t="e">
        <f>VLOOKUP(A89,Datos_presupuesto!A88:H339,5,FALSE)+VLOOKUP(A89,Datos_presupuesto!A88:H339,6,FALSE)+VLOOKUP(A89,Datos_presupuesto!A88:H339,7,FALSE)+VLOOKUP(A89,Datos_presupuesto!A88:H339,8,FALSE)</f>
        <v>#N/A</v>
      </c>
    </row>
    <row r="90" spans="1:2" ht="16.5">
      <c r="A90" s="57" t="s">
        <v>78</v>
      </c>
      <c r="B90" s="63" t="e">
        <f>VLOOKUP(A90,Datos_presupuesto!A89:H340,5,FALSE)+VLOOKUP(A90,Datos_presupuesto!A89:H340,6,FALSE)+VLOOKUP(A90,Datos_presupuesto!A89:H340,7,FALSE)+VLOOKUP(A90,Datos_presupuesto!A89:H340,8,FALSE)</f>
        <v>#N/A</v>
      </c>
    </row>
    <row r="91" spans="1:2" ht="16.5">
      <c r="A91" s="57" t="s">
        <v>79</v>
      </c>
      <c r="B91" s="63" t="e">
        <f>VLOOKUP(A91,Datos_presupuesto!A90:H341,5,FALSE)+VLOOKUP(A91,Datos_presupuesto!A90:H341,6,FALSE)+VLOOKUP(A91,Datos_presupuesto!A90:H341,7,FALSE)+VLOOKUP(A91,Datos_presupuesto!A90:H341,8,FALSE)</f>
        <v>#N/A</v>
      </c>
    </row>
    <row r="92" spans="1:2" ht="16.5">
      <c r="A92" s="57" t="s">
        <v>309</v>
      </c>
      <c r="B92" s="63" t="e">
        <f>VLOOKUP(A92,Datos_presupuesto!A91:H342,5,FALSE)+VLOOKUP(A92,Datos_presupuesto!A91:H342,6,FALSE)+VLOOKUP(A92,Datos_presupuesto!A91:H342,7,FALSE)+VLOOKUP(A92,Datos_presupuesto!A91:H342,8,FALSE)</f>
        <v>#N/A</v>
      </c>
    </row>
    <row r="93" spans="1:2" ht="16.5">
      <c r="A93" s="57" t="s">
        <v>370</v>
      </c>
      <c r="B93" s="63" t="e">
        <f>VLOOKUP(A93,Datos_presupuesto!A92:H343,5,FALSE)+VLOOKUP(A93,Datos_presupuesto!A92:H343,6,FALSE)+VLOOKUP(A93,Datos_presupuesto!A92:H343,7,FALSE)+VLOOKUP(A93,Datos_presupuesto!A92:H343,8,FALSE)</f>
        <v>#N/A</v>
      </c>
    </row>
    <row r="94" spans="1:2" ht="16.5">
      <c r="A94" s="57" t="s">
        <v>371</v>
      </c>
      <c r="B94" s="63" t="e">
        <f>VLOOKUP(A94,Datos_presupuesto!A93:H344,5,FALSE)+VLOOKUP(A94,Datos_presupuesto!A93:H344,6,FALSE)+VLOOKUP(A94,Datos_presupuesto!A93:H344,7,FALSE)+VLOOKUP(A94,Datos_presupuesto!A93:H344,8,FALSE)</f>
        <v>#N/A</v>
      </c>
    </row>
    <row r="95" spans="1:2" ht="16.5">
      <c r="A95" s="57" t="s">
        <v>372</v>
      </c>
      <c r="B95" s="63" t="e">
        <f>VLOOKUP(A95,Datos_presupuesto!A94:H345,5,FALSE)+VLOOKUP(A95,Datos_presupuesto!A94:H345,6,FALSE)+VLOOKUP(A95,Datos_presupuesto!A94:H345,7,FALSE)+VLOOKUP(A95,Datos_presupuesto!A94:H345,8,FALSE)</f>
        <v>#N/A</v>
      </c>
    </row>
    <row r="96" spans="1:2" ht="16.5">
      <c r="A96" s="57" t="s">
        <v>373</v>
      </c>
      <c r="B96" s="63" t="e">
        <f>VLOOKUP(A96,Datos_presupuesto!A95:H346,5,FALSE)+VLOOKUP(A96,Datos_presupuesto!A95:H346,6,FALSE)+VLOOKUP(A96,Datos_presupuesto!A95:H346,7,FALSE)+VLOOKUP(A96,Datos_presupuesto!A95:H346,8,FALSE)</f>
        <v>#N/A</v>
      </c>
    </row>
    <row r="97" spans="1:2" ht="16.5">
      <c r="A97" s="57" t="s">
        <v>378</v>
      </c>
      <c r="B97" s="63" t="e">
        <f>VLOOKUP(A97,Datos_presupuesto!A96:H347,5,FALSE)+VLOOKUP(A97,Datos_presupuesto!A96:H347,6,FALSE)+VLOOKUP(A97,Datos_presupuesto!A96:H347,7,FALSE)+VLOOKUP(A97,Datos_presupuesto!A96:H347,8,FALSE)</f>
        <v>#N/A</v>
      </c>
    </row>
    <row r="98" spans="1:2" ht="16.5">
      <c r="A98" s="57" t="s">
        <v>379</v>
      </c>
      <c r="B98" s="63" t="e">
        <f>VLOOKUP(A98,Datos_presupuesto!A97:H348,5,FALSE)+VLOOKUP(A98,Datos_presupuesto!A97:H348,6,FALSE)+VLOOKUP(A98,Datos_presupuesto!A97:H348,7,FALSE)+VLOOKUP(A98,Datos_presupuesto!A97:H348,8,FALSE)</f>
        <v>#N/A</v>
      </c>
    </row>
    <row r="99" spans="1:2" ht="16.5">
      <c r="A99" s="57" t="s">
        <v>380</v>
      </c>
      <c r="B99" s="63" t="e">
        <f>VLOOKUP(A99,Datos_presupuesto!A98:H349,5,FALSE)+VLOOKUP(A99,Datos_presupuesto!A98:H349,6,FALSE)+VLOOKUP(A99,Datos_presupuesto!A98:H349,7,FALSE)+VLOOKUP(A99,Datos_presupuesto!A98:H349,8,FALSE)</f>
        <v>#N/A</v>
      </c>
    </row>
    <row r="100" spans="1:2" ht="16.5">
      <c r="A100" s="57" t="s">
        <v>381</v>
      </c>
      <c r="B100" s="63" t="e">
        <f>VLOOKUP(A100,Datos_presupuesto!A99:H350,5,FALSE)+VLOOKUP(A100,Datos_presupuesto!A99:H350,6,FALSE)+VLOOKUP(A100,Datos_presupuesto!A99:H350,7,FALSE)+VLOOKUP(A100,Datos_presupuesto!A99:H350,8,FALSE)</f>
        <v>#N/A</v>
      </c>
    </row>
    <row r="101" spans="1:2" ht="16.5">
      <c r="A101" s="57" t="s">
        <v>382</v>
      </c>
      <c r="B101" s="63" t="e">
        <f>VLOOKUP(A101,Datos_presupuesto!A100:H351,5,FALSE)+VLOOKUP(A101,Datos_presupuesto!A100:H351,6,FALSE)+VLOOKUP(A101,Datos_presupuesto!A100:H351,7,FALSE)+VLOOKUP(A101,Datos_presupuesto!A100:H351,8,FALSE)</f>
        <v>#N/A</v>
      </c>
    </row>
    <row r="102" spans="1:2" ht="16.5">
      <c r="A102" s="57" t="s">
        <v>383</v>
      </c>
      <c r="B102" s="63" t="e">
        <f>VLOOKUP(A102,Datos_presupuesto!A101:H352,5,FALSE)+VLOOKUP(A102,Datos_presupuesto!A101:H352,6,FALSE)+VLOOKUP(A102,Datos_presupuesto!A101:H352,7,FALSE)+VLOOKUP(A102,Datos_presupuesto!A101:H352,8,FALSE)</f>
        <v>#N/A</v>
      </c>
    </row>
    <row r="103" spans="1:2" ht="16.5">
      <c r="A103" s="57" t="s">
        <v>384</v>
      </c>
      <c r="B103" s="63" t="e">
        <f>VLOOKUP(A103,Datos_presupuesto!A102:H353,5,FALSE)+VLOOKUP(A103,Datos_presupuesto!A102:H353,6,FALSE)+VLOOKUP(A103,Datos_presupuesto!A102:H353,7,FALSE)+VLOOKUP(A103,Datos_presupuesto!A102:H353,8,FALSE)</f>
        <v>#N/A</v>
      </c>
    </row>
    <row r="104" spans="1:2" ht="16.5">
      <c r="A104" s="57" t="s">
        <v>385</v>
      </c>
      <c r="B104" s="63" t="e">
        <f>VLOOKUP(A104,Datos_presupuesto!A103:H354,5,FALSE)+VLOOKUP(A104,Datos_presupuesto!A103:H354,6,FALSE)+VLOOKUP(A104,Datos_presupuesto!A103:H354,7,FALSE)+VLOOKUP(A104,Datos_presupuesto!A103:H354,8,FALSE)</f>
        <v>#N/A</v>
      </c>
    </row>
    <row r="105" spans="1:2" ht="16.5">
      <c r="A105" s="57" t="s">
        <v>386</v>
      </c>
      <c r="B105" s="63" t="e">
        <f>VLOOKUP(A105,Datos_presupuesto!A104:H355,5,FALSE)+VLOOKUP(A105,Datos_presupuesto!A104:H355,6,FALSE)+VLOOKUP(A105,Datos_presupuesto!A104:H355,7,FALSE)+VLOOKUP(A105,Datos_presupuesto!A104:H355,8,FALSE)</f>
        <v>#N/A</v>
      </c>
    </row>
    <row r="106" spans="1:2" ht="16.5">
      <c r="A106" s="57" t="s">
        <v>387</v>
      </c>
      <c r="B106" s="63" t="e">
        <f>VLOOKUP(A106,Datos_presupuesto!A105:H356,5,FALSE)+VLOOKUP(A106,Datos_presupuesto!A105:H356,6,FALSE)+VLOOKUP(A106,Datos_presupuesto!A105:H356,7,FALSE)+VLOOKUP(A106,Datos_presupuesto!A105:H356,8,FALSE)</f>
        <v>#N/A</v>
      </c>
    </row>
    <row r="107" spans="1:2" ht="16.5">
      <c r="A107" s="57"/>
    </row>
    <row r="108" spans="1:2" ht="16.5">
      <c r="A108" s="57" t="s">
        <v>80</v>
      </c>
      <c r="B108" s="63" t="e">
        <f>VLOOKUP(A108,Datos_presupuesto!A107:H358,5,FALSE)+VLOOKUP(A108,Datos_presupuesto!A107:H358,6,FALSE)+VLOOKUP(A108,Datos_presupuesto!A107:H358,7,FALSE)+VLOOKUP(A108,Datos_presupuesto!A107:H358,8,FALSE)</f>
        <v>#N/A</v>
      </c>
    </row>
    <row r="109" spans="1:2" ht="16.5">
      <c r="A109" s="57" t="s">
        <v>81</v>
      </c>
      <c r="B109" s="63" t="e">
        <f>VLOOKUP(A109,Datos_presupuesto!A108:H359,5,FALSE)+VLOOKUP(A109,Datos_presupuesto!A108:H359,6,FALSE)+VLOOKUP(A109,Datos_presupuesto!A108:H359,7,FALSE)+VLOOKUP(A109,Datos_presupuesto!A108:H359,8,FALSE)</f>
        <v>#N/A</v>
      </c>
    </row>
    <row r="110" spans="1:2" ht="16.5">
      <c r="A110" s="57" t="s">
        <v>82</v>
      </c>
      <c r="B110" s="63" t="e">
        <f>VLOOKUP(A110,Datos_presupuesto!A109:H360,5,FALSE)+VLOOKUP(A110,Datos_presupuesto!A109:H360,6,FALSE)+VLOOKUP(A110,Datos_presupuesto!A109:H360,7,FALSE)+VLOOKUP(A110,Datos_presupuesto!A109:H360,8,FALSE)</f>
        <v>#N/A</v>
      </c>
    </row>
    <row r="111" spans="1:2" ht="16.5">
      <c r="A111" s="57" t="s">
        <v>83</v>
      </c>
      <c r="B111" s="63" t="e">
        <f>VLOOKUP(A111,Datos_presupuesto!A110:H361,5,FALSE)+VLOOKUP(A111,Datos_presupuesto!A110:H361,6,FALSE)+VLOOKUP(A111,Datos_presupuesto!A110:H361,7,FALSE)+VLOOKUP(A111,Datos_presupuesto!A110:H361,8,FALSE)</f>
        <v>#N/A</v>
      </c>
    </row>
    <row r="112" spans="1:2" ht="16.5">
      <c r="A112" s="57" t="s">
        <v>310</v>
      </c>
      <c r="B112" s="63" t="e">
        <f>VLOOKUP(A112,Datos_presupuesto!A111:H362,5,FALSE)+VLOOKUP(A112,Datos_presupuesto!A111:H362,6,FALSE)+VLOOKUP(A112,Datos_presupuesto!A111:H362,7,FALSE)+VLOOKUP(A112,Datos_presupuesto!A111:H362,8,FALSE)</f>
        <v>#N/A</v>
      </c>
    </row>
    <row r="113" spans="1:2" ht="16.5">
      <c r="A113" s="57" t="s">
        <v>311</v>
      </c>
      <c r="B113" s="63" t="e">
        <f>VLOOKUP(A113,Datos_presupuesto!A112:H363,5,FALSE)+VLOOKUP(A113,Datos_presupuesto!A112:H363,6,FALSE)+VLOOKUP(A113,Datos_presupuesto!A112:H363,7,FALSE)+VLOOKUP(A113,Datos_presupuesto!A112:H363,8,FALSE)</f>
        <v>#N/A</v>
      </c>
    </row>
    <row r="114" spans="1:2" ht="16.5">
      <c r="A114" s="57" t="s">
        <v>312</v>
      </c>
      <c r="B114" s="63" t="e">
        <f>VLOOKUP(A114,Datos_presupuesto!A113:H364,5,FALSE)+VLOOKUP(A114,Datos_presupuesto!A113:H364,6,FALSE)+VLOOKUP(A114,Datos_presupuesto!A113:H364,7,FALSE)+VLOOKUP(A114,Datos_presupuesto!A113:H364,8,FALSE)</f>
        <v>#N/A</v>
      </c>
    </row>
    <row r="115" spans="1:2" ht="16.5">
      <c r="A115" s="57" t="s">
        <v>313</v>
      </c>
      <c r="B115" s="63" t="e">
        <f>VLOOKUP(A115,Datos_presupuesto!A114:H365,5,FALSE)+VLOOKUP(A115,Datos_presupuesto!A114:H365,6,FALSE)+VLOOKUP(A115,Datos_presupuesto!A114:H365,7,FALSE)+VLOOKUP(A115,Datos_presupuesto!A114:H365,8,FALSE)</f>
        <v>#N/A</v>
      </c>
    </row>
    <row r="116" spans="1:2" ht="16.5">
      <c r="A116" s="57" t="s">
        <v>374</v>
      </c>
      <c r="B116" s="63" t="e">
        <f>VLOOKUP(A116,Datos_presupuesto!A115:H366,5,FALSE)+VLOOKUP(A116,Datos_presupuesto!A115:H366,6,FALSE)+VLOOKUP(A116,Datos_presupuesto!A115:H366,7,FALSE)+VLOOKUP(A116,Datos_presupuesto!A115:H366,8,FALSE)</f>
        <v>#N/A</v>
      </c>
    </row>
    <row r="117" spans="1:2" ht="16.5">
      <c r="A117" s="57" t="s">
        <v>375</v>
      </c>
      <c r="B117" s="63" t="e">
        <f>VLOOKUP(A117,Datos_presupuesto!A116:H367,5,FALSE)+VLOOKUP(A117,Datos_presupuesto!A116:H367,6,FALSE)+VLOOKUP(A117,Datos_presupuesto!A116:H367,7,FALSE)+VLOOKUP(A117,Datos_presupuesto!A116:H367,8,FALSE)</f>
        <v>#N/A</v>
      </c>
    </row>
    <row r="118" spans="1:2" ht="16.5">
      <c r="A118" s="57" t="s">
        <v>376</v>
      </c>
      <c r="B118" s="63" t="e">
        <f>VLOOKUP(A118,Datos_presupuesto!A117:H368,5,FALSE)+VLOOKUP(A118,Datos_presupuesto!A117:H368,6,FALSE)+VLOOKUP(A118,Datos_presupuesto!A117:H368,7,FALSE)+VLOOKUP(A118,Datos_presupuesto!A117:H368,8,FALSE)</f>
        <v>#N/A</v>
      </c>
    </row>
    <row r="119" spans="1:2" ht="16.5">
      <c r="A119" s="57" t="s">
        <v>377</v>
      </c>
      <c r="B119" s="63" t="e">
        <f>VLOOKUP(A119,Datos_presupuesto!A118:H369,5,FALSE)+VLOOKUP(A119,Datos_presupuesto!A118:H369,6,FALSE)+VLOOKUP(A119,Datos_presupuesto!A118:H369,7,FALSE)+VLOOKUP(A119,Datos_presupuesto!A118:H369,8,FALSE)</f>
        <v>#N/A</v>
      </c>
    </row>
    <row r="120" spans="1:2" ht="16.5">
      <c r="A120" s="57" t="s">
        <v>388</v>
      </c>
      <c r="B120" s="63" t="e">
        <f>VLOOKUP(A120,Datos_presupuesto!A119:H370,5,FALSE)+VLOOKUP(A120,Datos_presupuesto!A119:H370,6,FALSE)+VLOOKUP(A120,Datos_presupuesto!A119:H370,7,FALSE)+VLOOKUP(A120,Datos_presupuesto!A119:H370,8,FALSE)</f>
        <v>#N/A</v>
      </c>
    </row>
    <row r="121" spans="1:2" ht="16.5">
      <c r="A121" s="57" t="s">
        <v>389</v>
      </c>
      <c r="B121" s="63" t="e">
        <f>VLOOKUP(A121,Datos_presupuesto!A120:H371,5,FALSE)+VLOOKUP(A121,Datos_presupuesto!A120:H371,6,FALSE)+VLOOKUP(A121,Datos_presupuesto!A120:H371,7,FALSE)+VLOOKUP(A121,Datos_presupuesto!A120:H371,8,FALSE)</f>
        <v>#N/A</v>
      </c>
    </row>
    <row r="122" spans="1:2" ht="16.5">
      <c r="A122" s="57" t="s">
        <v>390</v>
      </c>
      <c r="B122" s="63" t="e">
        <f>VLOOKUP(A122,Datos_presupuesto!A121:H372,5,FALSE)+VLOOKUP(A122,Datos_presupuesto!A121:H372,6,FALSE)+VLOOKUP(A122,Datos_presupuesto!A121:H372,7,FALSE)+VLOOKUP(A122,Datos_presupuesto!A121:H372,8,FALSE)</f>
        <v>#N/A</v>
      </c>
    </row>
    <row r="123" spans="1:2" ht="16.5">
      <c r="A123" s="57" t="s">
        <v>391</v>
      </c>
      <c r="B123" s="63" t="e">
        <f>VLOOKUP(A123,Datos_presupuesto!A122:H373,5,FALSE)+VLOOKUP(A123,Datos_presupuesto!A122:H373,6,FALSE)+VLOOKUP(A123,Datos_presupuesto!A122:H373,7,FALSE)+VLOOKUP(A123,Datos_presupuesto!A122:H373,8,FALSE)</f>
        <v>#N/A</v>
      </c>
    </row>
    <row r="124" spans="1:2" ht="16.5">
      <c r="A124" s="57" t="s">
        <v>392</v>
      </c>
      <c r="B124" s="63" t="e">
        <f>VLOOKUP(A124,Datos_presupuesto!A123:H374,5,FALSE)+VLOOKUP(A124,Datos_presupuesto!A123:H374,6,FALSE)+VLOOKUP(A124,Datos_presupuesto!A123:H374,7,FALSE)+VLOOKUP(A124,Datos_presupuesto!A123:H374,8,FALSE)</f>
        <v>#N/A</v>
      </c>
    </row>
    <row r="125" spans="1:2" ht="16.5">
      <c r="A125" s="57" t="s">
        <v>393</v>
      </c>
      <c r="B125" s="63" t="e">
        <f>VLOOKUP(A125,Datos_presupuesto!A124:H375,5,FALSE)+VLOOKUP(A125,Datos_presupuesto!A124:H375,6,FALSE)+VLOOKUP(A125,Datos_presupuesto!A124:H375,7,FALSE)+VLOOKUP(A125,Datos_presupuesto!A124:H375,8,FALSE)</f>
        <v>#N/A</v>
      </c>
    </row>
    <row r="126" spans="1:2" ht="16.5">
      <c r="A126" s="57" t="s">
        <v>394</v>
      </c>
      <c r="B126" s="63" t="e">
        <f>VLOOKUP(A126,Datos_presupuesto!A125:H376,5,FALSE)+VLOOKUP(A126,Datos_presupuesto!A125:H376,6,FALSE)+VLOOKUP(A126,Datos_presupuesto!A125:H376,7,FALSE)+VLOOKUP(A126,Datos_presupuesto!A125:H376,8,FALSE)</f>
        <v>#N/A</v>
      </c>
    </row>
    <row r="127" spans="1:2" ht="16.5">
      <c r="A127" s="57" t="s">
        <v>395</v>
      </c>
      <c r="B127" s="63" t="e">
        <f>VLOOKUP(A127,Datos_presupuesto!A126:H377,5,FALSE)+VLOOKUP(A127,Datos_presupuesto!A126:H377,6,FALSE)+VLOOKUP(A127,Datos_presupuesto!A126:H377,7,FALSE)+VLOOKUP(A127,Datos_presupuesto!A126:H377,8,FALSE)</f>
        <v>#N/A</v>
      </c>
    </row>
    <row r="128" spans="1:2" ht="16.5">
      <c r="A128" s="57" t="s">
        <v>396</v>
      </c>
      <c r="B128" s="63" t="e">
        <f>VLOOKUP(A128,Datos_presupuesto!A127:H378,5,FALSE)+VLOOKUP(A128,Datos_presupuesto!A127:H378,6,FALSE)+VLOOKUP(A128,Datos_presupuesto!A127:H378,7,FALSE)+VLOOKUP(A128,Datos_presupuesto!A127:H378,8,FALSE)</f>
        <v>#N/A</v>
      </c>
    </row>
    <row r="129" spans="1:2" ht="16.5">
      <c r="A129" s="57" t="s">
        <v>397</v>
      </c>
      <c r="B129" s="63" t="e">
        <f>VLOOKUP(A129,Datos_presupuesto!A128:H379,5,FALSE)+VLOOKUP(A129,Datos_presupuesto!A128:H379,6,FALSE)+VLOOKUP(A129,Datos_presupuesto!A128:H379,7,FALSE)+VLOOKUP(A129,Datos_presupuesto!A128:H379,8,FALSE)</f>
        <v>#N/A</v>
      </c>
    </row>
    <row r="130" spans="1:2" ht="16.5">
      <c r="A130" s="57" t="s">
        <v>398</v>
      </c>
      <c r="B130" s="63" t="e">
        <f>VLOOKUP(A130,Datos_presupuesto!A129:H380,5,FALSE)+VLOOKUP(A130,Datos_presupuesto!A129:H380,6,FALSE)+VLOOKUP(A130,Datos_presupuesto!A129:H380,7,FALSE)+VLOOKUP(A130,Datos_presupuesto!A129:H380,8,FALSE)</f>
        <v>#N/A</v>
      </c>
    </row>
    <row r="131" spans="1:2" ht="16.5">
      <c r="A131" s="57" t="s">
        <v>399</v>
      </c>
      <c r="B131" s="63" t="e">
        <f>VLOOKUP(A131,Datos_presupuesto!A130:H381,5,FALSE)+VLOOKUP(A131,Datos_presupuesto!A130:H381,6,FALSE)+VLOOKUP(A131,Datos_presupuesto!A130:H381,7,FALSE)+VLOOKUP(A131,Datos_presupuesto!A130:H381,8,FALSE)</f>
        <v>#N/A</v>
      </c>
    </row>
    <row r="132" spans="1:2" ht="16.5">
      <c r="A132" s="57"/>
    </row>
    <row r="133" spans="1:2" ht="16.5">
      <c r="A133" s="57" t="s">
        <v>84</v>
      </c>
      <c r="B133" s="63" t="e">
        <f>VLOOKUP(A133,Datos_presupuesto!A132:H383,5,FALSE)+VLOOKUP(A133,Datos_presupuesto!A132:H383,6,FALSE)+VLOOKUP(A133,Datos_presupuesto!A132:H383,7,FALSE)+VLOOKUP(A133,Datos_presupuesto!A132:H383,8,FALSE)</f>
        <v>#N/A</v>
      </c>
    </row>
    <row r="134" spans="1:2" ht="16.5">
      <c r="A134" s="57" t="s">
        <v>85</v>
      </c>
      <c r="B134" s="63" t="e">
        <f>VLOOKUP(A134,Datos_presupuesto!A133:H384,5,FALSE)+VLOOKUP(A134,Datos_presupuesto!A133:H384,6,FALSE)+VLOOKUP(A134,Datos_presupuesto!A133:H384,7,FALSE)+VLOOKUP(A134,Datos_presupuesto!A133:H384,8,FALSE)</f>
        <v>#N/A</v>
      </c>
    </row>
    <row r="135" spans="1:2" ht="16.5">
      <c r="A135" s="57" t="s">
        <v>86</v>
      </c>
      <c r="B135" s="63" t="e">
        <f>VLOOKUP(A135,Datos_presupuesto!A134:H385,5,FALSE)+VLOOKUP(A135,Datos_presupuesto!A134:H385,6,FALSE)+VLOOKUP(A135,Datos_presupuesto!A134:H385,7,FALSE)+VLOOKUP(A135,Datos_presupuesto!A134:H385,8,FALSE)</f>
        <v>#N/A</v>
      </c>
    </row>
    <row r="136" spans="1:2" ht="16.5">
      <c r="A136" s="57" t="s">
        <v>87</v>
      </c>
      <c r="B136" s="63" t="e">
        <f>VLOOKUP(A136,Datos_presupuesto!A135:H386,5,FALSE)+VLOOKUP(A136,Datos_presupuesto!A135:H386,6,FALSE)+VLOOKUP(A136,Datos_presupuesto!A135:H386,7,FALSE)+VLOOKUP(A136,Datos_presupuesto!A135:H386,8,FALSE)</f>
        <v>#N/A</v>
      </c>
    </row>
    <row r="137" spans="1:2" ht="16.5">
      <c r="A137" s="57" t="s">
        <v>366</v>
      </c>
      <c r="B137" s="63" t="e">
        <f>VLOOKUP(A137,Datos_presupuesto!A136:H387,5,FALSE)+VLOOKUP(A137,Datos_presupuesto!A136:H387,6,FALSE)+VLOOKUP(A137,Datos_presupuesto!A136:H387,7,FALSE)+VLOOKUP(A137,Datos_presupuesto!A136:H387,8,FALSE)</f>
        <v>#N/A</v>
      </c>
    </row>
    <row r="138" spans="1:2" ht="16.5">
      <c r="A138" s="57" t="s">
        <v>400</v>
      </c>
      <c r="B138" s="63" t="e">
        <f>VLOOKUP(A138,Datos_presupuesto!A137:H388,5,FALSE)+VLOOKUP(A138,Datos_presupuesto!A137:H388,6,FALSE)+VLOOKUP(A138,Datos_presupuesto!A137:H388,7,FALSE)+VLOOKUP(A138,Datos_presupuesto!A137:H388,8,FALSE)</f>
        <v>#N/A</v>
      </c>
    </row>
    <row r="139" spans="1:2" ht="16.5">
      <c r="A139" s="57" t="s">
        <v>401</v>
      </c>
      <c r="B139" s="63" t="e">
        <f>VLOOKUP(A139,Datos_presupuesto!A138:H389,5,FALSE)+VLOOKUP(A139,Datos_presupuesto!A138:H389,6,FALSE)+VLOOKUP(A139,Datos_presupuesto!A138:H389,7,FALSE)+VLOOKUP(A139,Datos_presupuesto!A138:H389,8,FALSE)</f>
        <v>#N/A</v>
      </c>
    </row>
    <row r="140" spans="1:2" ht="16.5">
      <c r="A140" s="57" t="s">
        <v>402</v>
      </c>
      <c r="B140" s="63" t="e">
        <f>VLOOKUP(A140,Datos_presupuesto!A139:H390,5,FALSE)+VLOOKUP(A140,Datos_presupuesto!A139:H390,6,FALSE)+VLOOKUP(A140,Datos_presupuesto!A139:H390,7,FALSE)+VLOOKUP(A140,Datos_presupuesto!A139:H390,8,FALSE)</f>
        <v>#N/A</v>
      </c>
    </row>
    <row r="141" spans="1:2" ht="16.5">
      <c r="A141" s="57" t="s">
        <v>403</v>
      </c>
      <c r="B141" s="63" t="e">
        <f>VLOOKUP(A141,Datos_presupuesto!A140:H391,5,FALSE)+VLOOKUP(A141,Datos_presupuesto!A140:H391,6,FALSE)+VLOOKUP(A141,Datos_presupuesto!A140:H391,7,FALSE)+VLOOKUP(A141,Datos_presupuesto!A140:H391,8,FALSE)</f>
        <v>#N/A</v>
      </c>
    </row>
    <row r="142" spans="1:2" ht="16.5">
      <c r="A142" s="57" t="s">
        <v>404</v>
      </c>
      <c r="B142" s="63" t="e">
        <f>VLOOKUP(A142,Datos_presupuesto!A141:H392,5,FALSE)+VLOOKUP(A142,Datos_presupuesto!A141:H392,6,FALSE)+VLOOKUP(A142,Datos_presupuesto!A141:H392,7,FALSE)+VLOOKUP(A142,Datos_presupuesto!A141:H392,8,FALSE)</f>
        <v>#N/A</v>
      </c>
    </row>
    <row r="144" spans="1:2" ht="16.5">
      <c r="A144" s="57" t="s">
        <v>88</v>
      </c>
      <c r="B144" s="63" t="e">
        <f>VLOOKUP(A144,Datos_presupuesto!A143:H394,5,FALSE)+VLOOKUP(A144,Datos_presupuesto!A143:H394,6,FALSE)+VLOOKUP(A144,Datos_presupuesto!A143:H394,7,FALSE)+VLOOKUP(A144,Datos_presupuesto!A143:H394,8,FALSE)</f>
        <v>#N/A</v>
      </c>
    </row>
    <row r="145" spans="1:2" ht="16.5">
      <c r="A145" s="57" t="s">
        <v>89</v>
      </c>
      <c r="B145" s="63" t="e">
        <f>VLOOKUP(A145,Datos_presupuesto!A144:H395,5,FALSE)+VLOOKUP(A145,Datos_presupuesto!A144:H395,6,FALSE)+VLOOKUP(A145,Datos_presupuesto!A144:H395,7,FALSE)+VLOOKUP(A145,Datos_presupuesto!A144:H395,8,FALSE)</f>
        <v>#N/A</v>
      </c>
    </row>
    <row r="146" spans="1:2" ht="16.5">
      <c r="A146" s="57" t="s">
        <v>90</v>
      </c>
      <c r="B146" s="63" t="e">
        <f>VLOOKUP(A146,Datos_presupuesto!A145:H396,5,FALSE)+VLOOKUP(A146,Datos_presupuesto!A145:H396,6,FALSE)+VLOOKUP(A146,Datos_presupuesto!A145:H396,7,FALSE)+VLOOKUP(A146,Datos_presupuesto!A145:H396,8,FALSE)</f>
        <v>#N/A</v>
      </c>
    </row>
    <row r="147" spans="1:2" ht="16.5">
      <c r="A147" s="57" t="s">
        <v>91</v>
      </c>
      <c r="B147" s="63" t="e">
        <f>VLOOKUP(A147,Datos_presupuesto!A146:H397,5,FALSE)+VLOOKUP(A147,Datos_presupuesto!A146:H397,6,FALSE)+VLOOKUP(A147,Datos_presupuesto!A146:H397,7,FALSE)+VLOOKUP(A147,Datos_presupuesto!A146:H397,8,FALSE)</f>
        <v>#N/A</v>
      </c>
    </row>
    <row r="148" spans="1:2" ht="16.5">
      <c r="A148" s="57" t="s">
        <v>92</v>
      </c>
      <c r="B148" s="63" t="e">
        <f>VLOOKUP(A148,Datos_presupuesto!A147:H398,5,FALSE)+VLOOKUP(A148,Datos_presupuesto!A147:H398,6,FALSE)+VLOOKUP(A148,Datos_presupuesto!A147:H398,7,FALSE)+VLOOKUP(A148,Datos_presupuesto!A147:H398,8,FALSE)</f>
        <v>#N/A</v>
      </c>
    </row>
    <row r="149" spans="1:2" ht="16.5">
      <c r="A149" s="57" t="s">
        <v>93</v>
      </c>
      <c r="B149" s="63" t="e">
        <f>VLOOKUP(A149,Datos_presupuesto!A148:H399,5,FALSE)+VLOOKUP(A149,Datos_presupuesto!A148:H399,6,FALSE)+VLOOKUP(A149,Datos_presupuesto!A148:H399,7,FALSE)+VLOOKUP(A149,Datos_presupuesto!A148:H399,8,FALSE)</f>
        <v>#N/A</v>
      </c>
    </row>
    <row r="150" spans="1:2" ht="16.5">
      <c r="A150" s="57" t="s">
        <v>94</v>
      </c>
      <c r="B150" s="63" t="e">
        <f>VLOOKUP(A150,Datos_presupuesto!A149:H400,5,FALSE)+VLOOKUP(A150,Datos_presupuesto!A149:H400,6,FALSE)+VLOOKUP(A150,Datos_presupuesto!A149:H400,7,FALSE)+VLOOKUP(A150,Datos_presupuesto!A149:H400,8,FALSE)</f>
        <v>#N/A</v>
      </c>
    </row>
    <row r="151" spans="1:2" ht="16.5">
      <c r="A151" s="57" t="s">
        <v>95</v>
      </c>
      <c r="B151" s="63" t="e">
        <f>VLOOKUP(A151,Datos_presupuesto!A150:H401,5,FALSE)+VLOOKUP(A151,Datos_presupuesto!A150:H401,6,FALSE)+VLOOKUP(A151,Datos_presupuesto!A150:H401,7,FALSE)+VLOOKUP(A151,Datos_presupuesto!A150:H401,8,FALSE)</f>
        <v>#N/A</v>
      </c>
    </row>
    <row r="152" spans="1:2" ht="16.5">
      <c r="A152" s="57" t="s">
        <v>96</v>
      </c>
      <c r="B152" s="63" t="e">
        <f>VLOOKUP(A152,Datos_presupuesto!A151:H402,5,FALSE)+VLOOKUP(A152,Datos_presupuesto!A151:H402,6,FALSE)+VLOOKUP(A152,Datos_presupuesto!A151:H402,7,FALSE)+VLOOKUP(A152,Datos_presupuesto!A151:H402,8,FALSE)</f>
        <v>#N/A</v>
      </c>
    </row>
    <row r="153" spans="1:2" ht="16.5">
      <c r="A153" s="57" t="s">
        <v>97</v>
      </c>
      <c r="B153" s="63" t="e">
        <f>VLOOKUP(A153,Datos_presupuesto!A152:H403,5,FALSE)+VLOOKUP(A153,Datos_presupuesto!A152:H403,6,FALSE)+VLOOKUP(A153,Datos_presupuesto!A152:H403,7,FALSE)+VLOOKUP(A153,Datos_presupuesto!A152:H403,8,FALSE)</f>
        <v>#N/A</v>
      </c>
    </row>
    <row r="154" spans="1:2" ht="16.5">
      <c r="A154" s="57" t="s">
        <v>367</v>
      </c>
      <c r="B154" s="63" t="e">
        <f>VLOOKUP(A154,Datos_presupuesto!A153:H404,5,FALSE)+VLOOKUP(A154,Datos_presupuesto!A153:H404,6,FALSE)+VLOOKUP(A154,Datos_presupuesto!A153:H404,7,FALSE)+VLOOKUP(A154,Datos_presupuesto!A153:H404,8,FALSE)</f>
        <v>#N/A</v>
      </c>
    </row>
    <row r="155" spans="1:2" ht="16.5">
      <c r="A155" s="57" t="s">
        <v>405</v>
      </c>
      <c r="B155" s="63" t="e">
        <f>VLOOKUP(A155,Datos_presupuesto!A154:H405,5,FALSE)+VLOOKUP(A155,Datos_presupuesto!A154:H405,6,FALSE)+VLOOKUP(A155,Datos_presupuesto!A154:H405,7,FALSE)+VLOOKUP(A155,Datos_presupuesto!A154:H405,8,FALSE)</f>
        <v>#N/A</v>
      </c>
    </row>
    <row r="156" spans="1:2" ht="16.5">
      <c r="A156" s="57" t="s">
        <v>406</v>
      </c>
      <c r="B156" s="63" t="e">
        <f>VLOOKUP(A156,Datos_presupuesto!A155:H406,5,FALSE)+VLOOKUP(A156,Datos_presupuesto!A155:H406,6,FALSE)+VLOOKUP(A156,Datos_presupuesto!A155:H406,7,FALSE)+VLOOKUP(A156,Datos_presupuesto!A155:H406,8,FALSE)</f>
        <v>#N/A</v>
      </c>
    </row>
    <row r="157" spans="1:2" ht="16.5">
      <c r="A157" s="57" t="s">
        <v>407</v>
      </c>
      <c r="B157" s="63" t="e">
        <f>VLOOKUP(A157,Datos_presupuesto!A156:H407,5,FALSE)+VLOOKUP(A157,Datos_presupuesto!A156:H407,6,FALSE)+VLOOKUP(A157,Datos_presupuesto!A156:H407,7,FALSE)+VLOOKUP(A157,Datos_presupuesto!A156:H407,8,FALSE)</f>
        <v>#N/A</v>
      </c>
    </row>
    <row r="158" spans="1:2" ht="16.5">
      <c r="A158" s="57" t="s">
        <v>408</v>
      </c>
      <c r="B158" s="63" t="e">
        <f>VLOOKUP(A158,Datos_presupuesto!A157:H408,5,FALSE)+VLOOKUP(A158,Datos_presupuesto!A157:H408,6,FALSE)+VLOOKUP(A158,Datos_presupuesto!A157:H408,7,FALSE)+VLOOKUP(A158,Datos_presupuesto!A157:H408,8,FALSE)</f>
        <v>#N/A</v>
      </c>
    </row>
    <row r="159" spans="1:2" ht="16.5">
      <c r="A159" s="57" t="s">
        <v>409</v>
      </c>
      <c r="B159" s="63" t="e">
        <f>VLOOKUP(A159,Datos_presupuesto!A158:H409,5,FALSE)+VLOOKUP(A159,Datos_presupuesto!A158:H409,6,FALSE)+VLOOKUP(A159,Datos_presupuesto!A158:H409,7,FALSE)+VLOOKUP(A159,Datos_presupuesto!A158:H409,8,FALSE)</f>
        <v>#N/A</v>
      </c>
    </row>
    <row r="160" spans="1:2" ht="16.5">
      <c r="A160" s="57" t="s">
        <v>410</v>
      </c>
      <c r="B160" s="63" t="e">
        <f>VLOOKUP(A160,Datos_presupuesto!A159:H410,5,FALSE)+VLOOKUP(A160,Datos_presupuesto!A159:H410,6,FALSE)+VLOOKUP(A160,Datos_presupuesto!A159:H410,7,FALSE)+VLOOKUP(A160,Datos_presupuesto!A159:H410,8,FALSE)</f>
        <v>#N/A</v>
      </c>
    </row>
    <row r="161" spans="1:2" ht="16.5">
      <c r="A161" s="57" t="s">
        <v>411</v>
      </c>
      <c r="B161" s="63" t="e">
        <f>VLOOKUP(A161,Datos_presupuesto!A160:H411,5,FALSE)+VLOOKUP(A161,Datos_presupuesto!A160:H411,6,FALSE)+VLOOKUP(A161,Datos_presupuesto!A160:H411,7,FALSE)+VLOOKUP(A161,Datos_presupuesto!A160:H411,8,FALSE)</f>
        <v>#N/A</v>
      </c>
    </row>
    <row r="162" spans="1:2" ht="16.5">
      <c r="A162" s="57" t="s">
        <v>412</v>
      </c>
      <c r="B162" s="63" t="e">
        <f>VLOOKUP(A162,Datos_presupuesto!A161:H412,5,FALSE)+VLOOKUP(A162,Datos_presupuesto!A161:H412,6,FALSE)+VLOOKUP(A162,Datos_presupuesto!A161:H412,7,FALSE)+VLOOKUP(A162,Datos_presupuesto!A161:H412,8,FALSE)</f>
        <v>#N/A</v>
      </c>
    </row>
    <row r="163" spans="1:2" ht="16.5">
      <c r="A163" s="57" t="s">
        <v>413</v>
      </c>
      <c r="B163" s="63" t="e">
        <f>VLOOKUP(A163,Datos_presupuesto!A162:H413,5,FALSE)+VLOOKUP(A163,Datos_presupuesto!A162:H413,6,FALSE)+VLOOKUP(A163,Datos_presupuesto!A162:H413,7,FALSE)+VLOOKUP(A163,Datos_presupuesto!A162:H413,8,FALSE)</f>
        <v>#N/A</v>
      </c>
    </row>
    <row r="164" spans="1:2" ht="16.5">
      <c r="A164" s="57" t="s">
        <v>414</v>
      </c>
      <c r="B164" s="63" t="e">
        <f>VLOOKUP(A164,Datos_presupuesto!A163:H414,5,FALSE)+VLOOKUP(A164,Datos_presupuesto!A163:H414,6,FALSE)+VLOOKUP(A164,Datos_presupuesto!A163:H414,7,FALSE)+VLOOKUP(A164,Datos_presupuesto!A163:H414,8,FALSE)</f>
        <v>#N/A</v>
      </c>
    </row>
    <row r="165" spans="1:2" ht="16.5">
      <c r="A165" s="57" t="s">
        <v>415</v>
      </c>
      <c r="B165" s="63" t="e">
        <f>VLOOKUP(A165,Datos_presupuesto!A164:H415,5,FALSE)+VLOOKUP(A165,Datos_presupuesto!A164:H415,6,FALSE)+VLOOKUP(A165,Datos_presupuesto!A164:H415,7,FALSE)+VLOOKUP(A165,Datos_presupuesto!A164:H415,8,FALSE)</f>
        <v>#N/A</v>
      </c>
    </row>
    <row r="166" spans="1:2" ht="16.5">
      <c r="A166" s="57" t="s">
        <v>416</v>
      </c>
      <c r="B166" s="63" t="e">
        <f>VLOOKUP(A166,Datos_presupuesto!A165:H416,5,FALSE)+VLOOKUP(A166,Datos_presupuesto!A165:H416,6,FALSE)+VLOOKUP(A166,Datos_presupuesto!A165:H416,7,FALSE)+VLOOKUP(A166,Datos_presupuesto!A165:H416,8,FALSE)</f>
        <v>#N/A</v>
      </c>
    </row>
    <row r="167" spans="1:2" ht="16.5">
      <c r="A167" s="57" t="s">
        <v>417</v>
      </c>
      <c r="B167" s="63" t="e">
        <f>VLOOKUP(A167,Datos_presupuesto!A166:H417,5,FALSE)+VLOOKUP(A167,Datos_presupuesto!A166:H417,6,FALSE)+VLOOKUP(A167,Datos_presupuesto!A166:H417,7,FALSE)+VLOOKUP(A167,Datos_presupuesto!A166:H417,8,FALSE)</f>
        <v>#N/A</v>
      </c>
    </row>
    <row r="168" spans="1:2" ht="16.5">
      <c r="A168" s="57" t="s">
        <v>418</v>
      </c>
      <c r="B168" s="63" t="e">
        <f>VLOOKUP(A168,Datos_presupuesto!A167:H418,5,FALSE)+VLOOKUP(A168,Datos_presupuesto!A167:H418,6,FALSE)+VLOOKUP(A168,Datos_presupuesto!A167:H418,7,FALSE)+VLOOKUP(A168,Datos_presupuesto!A167:H418,8,FALSE)</f>
        <v>#N/A</v>
      </c>
    </row>
    <row r="169" spans="1:2" ht="16.5">
      <c r="A169" s="57" t="s">
        <v>419</v>
      </c>
      <c r="B169" s="63" t="e">
        <f>VLOOKUP(A169,Datos_presupuesto!A168:H419,5,FALSE)+VLOOKUP(A169,Datos_presupuesto!A168:H419,6,FALSE)+VLOOKUP(A169,Datos_presupuesto!A168:H419,7,FALSE)+VLOOKUP(A169,Datos_presupuesto!A168:H419,8,FALSE)</f>
        <v>#N/A</v>
      </c>
    </row>
    <row r="170" spans="1:2" ht="16.5">
      <c r="A170" s="57" t="s">
        <v>420</v>
      </c>
      <c r="B170" s="63" t="e">
        <f>VLOOKUP(A170,Datos_presupuesto!A169:H420,5,FALSE)+VLOOKUP(A170,Datos_presupuesto!A169:H420,6,FALSE)+VLOOKUP(A170,Datos_presupuesto!A169:H420,7,FALSE)+VLOOKUP(A170,Datos_presupuesto!A169:H420,8,FALSE)</f>
        <v>#N/A</v>
      </c>
    </row>
    <row r="171" spans="1:2" ht="16.5">
      <c r="A171" s="57" t="s">
        <v>421</v>
      </c>
      <c r="B171" s="63" t="e">
        <f>VLOOKUP(A171,Datos_presupuesto!A170:H421,5,FALSE)+VLOOKUP(A171,Datos_presupuesto!A170:H421,6,FALSE)+VLOOKUP(A171,Datos_presupuesto!A170:H421,7,FALSE)+VLOOKUP(A171,Datos_presupuesto!A170:H421,8,FALSE)</f>
        <v>#N/A</v>
      </c>
    </row>
    <row r="172" spans="1:2" ht="16.5">
      <c r="A172" s="57" t="s">
        <v>422</v>
      </c>
      <c r="B172" s="63" t="e">
        <f>VLOOKUP(A172,Datos_presupuesto!A171:H422,5,FALSE)+VLOOKUP(A172,Datos_presupuesto!A171:H422,6,FALSE)+VLOOKUP(A172,Datos_presupuesto!A171:H422,7,FALSE)+VLOOKUP(A172,Datos_presupuesto!A171:H422,8,FALSE)</f>
        <v>#N/A</v>
      </c>
    </row>
    <row r="173" spans="1:2" ht="16.5">
      <c r="A173" s="57" t="s">
        <v>423</v>
      </c>
      <c r="B173" s="63" t="e">
        <f>VLOOKUP(A173,Datos_presupuesto!A172:H423,5,FALSE)+VLOOKUP(A173,Datos_presupuesto!A172:H423,6,FALSE)+VLOOKUP(A173,Datos_presupuesto!A172:H423,7,FALSE)+VLOOKUP(A173,Datos_presupuesto!A172:H423,8,FALSE)</f>
        <v>#N/A</v>
      </c>
    </row>
    <row r="251" spans="3:3">
      <c r="C251" s="63" t="e">
        <f ca="1">_xlfn.AGGREGATE(9,6,C2:C250)</f>
        <v>#NAME?</v>
      </c>
    </row>
  </sheetData>
  <sheetProtection algorithmName="SHA-512" hashValue="xmpuXTxvL7Yq5ceyu8evfoetkAst3uumnOfQjzQ56AcyzWmZv3KK/UKz4oX1sDl+3BBJmBmLsjBPERa9LaLjQw==" saltValue="y6yiXQNmo26MYmMfQ8DhzA==" spinCount="100000" sheet="1" objects="1" scenarios="1"/>
  <mergeCells count="1">
    <mergeCell ref="H1:H3"/>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oja7">
    <tabColor rgb="FFFF0000"/>
  </sheetPr>
  <dimension ref="A1:Z1020"/>
  <sheetViews>
    <sheetView topLeftCell="AA1" zoomScale="110" zoomScaleNormal="110" workbookViewId="0">
      <selection sqref="A1:Z1048576"/>
    </sheetView>
  </sheetViews>
  <sheetFormatPr baseColWidth="10" defaultRowHeight="15"/>
  <cols>
    <col min="1" max="1" width="18.85546875" style="63" hidden="1" customWidth="1"/>
    <col min="2" max="2" width="11.85546875" style="63" hidden="1" customWidth="1"/>
    <col min="3" max="4" width="10.7109375" style="63" hidden="1" customWidth="1"/>
    <col min="5" max="5" width="31.28515625" style="63" hidden="1" customWidth="1"/>
    <col min="6" max="6" width="23" style="63" hidden="1" customWidth="1"/>
    <col min="7" max="8" width="10.7109375" style="63" hidden="1" customWidth="1"/>
    <col min="9" max="9" width="16.140625" style="63" hidden="1" customWidth="1"/>
    <col min="10" max="14" width="10.7109375" style="63" hidden="1" customWidth="1"/>
    <col min="15" max="15" width="11.85546875" style="63" hidden="1" customWidth="1"/>
    <col min="16" max="16" width="15.42578125" style="63" hidden="1" customWidth="1"/>
    <col min="17" max="19" width="10.7109375" style="63" hidden="1" customWidth="1"/>
    <col min="20" max="20" width="11.85546875" style="63" hidden="1" customWidth="1"/>
    <col min="21" max="26" width="10.7109375" style="63" hidden="1" customWidth="1"/>
  </cols>
  <sheetData>
    <row r="1" spans="1:22">
      <c r="A1" s="93" t="s">
        <v>424</v>
      </c>
      <c r="B1" s="63" t="s">
        <v>479</v>
      </c>
      <c r="F1" s="63" t="s">
        <v>479</v>
      </c>
      <c r="G1" s="63" t="s">
        <v>1083</v>
      </c>
      <c r="J1" s="63" t="s">
        <v>479</v>
      </c>
      <c r="K1" s="63" t="s">
        <v>1083</v>
      </c>
      <c r="M1" s="63" t="s">
        <v>479</v>
      </c>
      <c r="N1" s="63" t="s">
        <v>1082</v>
      </c>
      <c r="O1" s="63" t="s">
        <v>1087</v>
      </c>
      <c r="P1" s="63" t="s">
        <v>1088</v>
      </c>
      <c r="Q1" s="63" t="s">
        <v>1089</v>
      </c>
      <c r="T1" s="63" t="s">
        <v>1097</v>
      </c>
      <c r="U1" s="63" t="s">
        <v>1099</v>
      </c>
      <c r="V1" s="63" t="s">
        <v>1100</v>
      </c>
    </row>
    <row r="2" spans="1:22">
      <c r="A2" s="63" t="s">
        <v>425</v>
      </c>
      <c r="B2" s="63">
        <f>VLOOKUP('Calculos 2'!A2,'Huella Completa'!A16:G702,3,FALSE)*(IF(VLOOKUP('Calculos 2'!A2,'Huella Completa'!A16:G702,4,FALSE)="Gasolina",Gasolina,IF(VLOOKUP('Calculos 2'!A2,'Huella Completa'!A16:G702,4,FALSE)="Diesel",Diesel,IF(VLOOKUP('Calculos 2'!A2,'Huella Completa'!A16:G702,4,FALSE)="GLP",GLP,0))))</f>
        <v>0</v>
      </c>
      <c r="E2" s="93" t="s">
        <v>106</v>
      </c>
      <c r="F2" s="63" t="e">
        <f ca="1">VLOOKUP("1.0",A:C,3,FALSE)+VLOOKUP("2.0",A:C,3,FALSE)+VLOOKUP("4.0",A:C,3,FALSE)+VLOOKUP("5.0",A:C,3,FALSE)</f>
        <v>#NAME?</v>
      </c>
      <c r="G2" s="63" t="e">
        <f ca="1">F2/1000</f>
        <v>#NAME?</v>
      </c>
      <c r="I2" s="93" t="s">
        <v>997</v>
      </c>
      <c r="J2" s="63" t="e">
        <f ca="1">VLOOKUP("1.0",A:C,3,FALSE)+VLOOKUP("2.0",A:C,3,FALSE)+VLOOKUP("3.0",A:C,3,FALSE)+_xlfn.AGGREGATE(9,6,emi_04.01,emi_04.02,emi_04.03)</f>
        <v>#NAME?</v>
      </c>
      <c r="K2" s="63" t="e">
        <f ca="1">J2/1000</f>
        <v>#NAME?</v>
      </c>
      <c r="L2" s="63" t="s">
        <v>1081</v>
      </c>
      <c r="M2" s="94" t="e">
        <f ca="1">'Huella Minima'!$B$8+'Calculos 2'!B1020</f>
        <v>#NAME?</v>
      </c>
      <c r="N2" s="95" t="e">
        <f ca="1">M2/1000</f>
        <v>#NAME?</v>
      </c>
      <c r="O2" s="63" t="e">
        <f ca="1">M2/presupuesto</f>
        <v>#NAME?</v>
      </c>
      <c r="P2" s="63">
        <f>P9</f>
        <v>0</v>
      </c>
      <c r="Q2" s="63" t="e">
        <f ca="1">M2/P2</f>
        <v>#NAME?</v>
      </c>
      <c r="T2" s="63" t="e">
        <f ca="1">ROUNDUP((N2/0.3*1.4),0)</f>
        <v>#NAME?</v>
      </c>
      <c r="U2" s="63" t="e">
        <f ca="1">'Calculos 1'!C251</f>
        <v>#NAME?</v>
      </c>
      <c r="V2" s="63" t="e">
        <f ca="1">ROUNDUP((U2/1000/0.3*1.4),0)</f>
        <v>#NAME?</v>
      </c>
    </row>
    <row r="3" spans="1:22">
      <c r="A3" s="63" t="s">
        <v>426</v>
      </c>
      <c r="B3" s="63">
        <f>VLOOKUP('Calculos 2'!A3,'Huella Completa'!A17:G703,3,FALSE)*(IF(VLOOKUP('Calculos 2'!A3,'Huella Completa'!A17:G703,4,FALSE)="Gasolina",Gasolina,IF(VLOOKUP('Calculos 2'!A3,'Huella Completa'!A17:G703,4,FALSE)="Diesel",Diesel,IF(VLOOKUP('Calculos 2'!A3,'Huella Completa'!A17:G703,4,FALSE)="GLP",GLP,0))))</f>
        <v>0</v>
      </c>
      <c r="E3" s="93" t="s">
        <v>1061</v>
      </c>
      <c r="F3" s="63" t="e">
        <f ca="1">VLOOKUP("3.0",A:C,3,FALSE)+VLOOKUP("6.0",A:C,3,FALSE)</f>
        <v>#NAME?</v>
      </c>
      <c r="G3" s="63" t="e">
        <f t="shared" ref="G3:G7" ca="1" si="0">F3/1000</f>
        <v>#NAME?</v>
      </c>
      <c r="I3" s="93" t="s">
        <v>998</v>
      </c>
      <c r="J3" s="63" t="e">
        <f ca="1">VLOOKUP("4.0",A:C,3,FALSE)+VLOOKUP("5.0",A:C,3,FALSE)+VLOOKUP("6.0",A:C,3,FALSE)+VLOOKUP("7.0",A:C,3,FALSE)+VLOOKUP("8.0",A:C,3,FALSE)+VLOOKUP("9.0",A:C,3,FALSE)+_xlfn.AGGREGATE(9,6,emi_06.01,emi_05.03)+VLOOKUP("13.0",A:C,3,FALSE)</f>
        <v>#NAME?</v>
      </c>
      <c r="K3" s="63" t="e">
        <f t="shared" ref="K3:K4" ca="1" si="1">J3/1000</f>
        <v>#NAME?</v>
      </c>
    </row>
    <row r="4" spans="1:22">
      <c r="A4" s="63" t="s">
        <v>427</v>
      </c>
      <c r="B4" s="63">
        <f>VLOOKUP('Calculos 2'!A4,'Huella Completa'!A18:G704,3,FALSE)*(IF(VLOOKUP('Calculos 2'!A4,'Huella Completa'!A18:G704,4,FALSE)="Gasolina",Gasolina,IF(VLOOKUP('Calculos 2'!A4,'Huella Completa'!A18:G704,4,FALSE)="Diesel",Diesel,IF(VLOOKUP('Calculos 2'!A4,'Huella Completa'!A18:G704,4,FALSE)="GLP",GLP,0))))</f>
        <v>0</v>
      </c>
      <c r="E4" s="93" t="s">
        <v>1064</v>
      </c>
      <c r="F4" s="63" t="e">
        <f ca="1">VLOOKUP("8.0",A:C,3,FALSE)+VLOOKUP("9.0",A:C,3,FALSE)</f>
        <v>#NAME?</v>
      </c>
      <c r="G4" s="63" t="e">
        <f t="shared" ca="1" si="0"/>
        <v>#NAME?</v>
      </c>
      <c r="I4" s="93" t="s">
        <v>999</v>
      </c>
      <c r="J4" s="63" t="e">
        <f ca="1">VLOOKUP("14.0",A:C,3,FALSE)</f>
        <v>#NAME?</v>
      </c>
      <c r="K4" s="63" t="e">
        <f t="shared" ca="1" si="1"/>
        <v>#NAME?</v>
      </c>
    </row>
    <row r="5" spans="1:22">
      <c r="A5" s="63" t="s">
        <v>451</v>
      </c>
      <c r="B5" s="63">
        <f>VLOOKUP('Calculos 2'!A5,'Huella Completa'!A19:G705,3,FALSE)*(IF(VLOOKUP('Calculos 2'!A5,'Huella Completa'!A19:G705,4,FALSE)="Gasolina",Gasolina,IF(VLOOKUP('Calculos 2'!A5,'Huella Completa'!A19:G705,4,FALSE)="Diesel",Diesel,IF(VLOOKUP('Calculos 2'!A5,'Huella Completa'!A19:G705,4,FALSE)="GLP",GLP,0))))</f>
        <v>0</v>
      </c>
      <c r="E5" s="93" t="s">
        <v>1066</v>
      </c>
      <c r="F5" s="63" t="e">
        <f ca="1">VLOOKUP("7.0",A:C,3,FALSE)</f>
        <v>#NAME?</v>
      </c>
      <c r="G5" s="63" t="e">
        <f t="shared" ca="1" si="0"/>
        <v>#NAME?</v>
      </c>
      <c r="O5" s="63" t="str">
        <f>'Huella Completa'!C9</f>
        <v>Nº de días de trabajo</v>
      </c>
      <c r="P5" s="63" t="str">
        <f>'Huella Completa'!D9</f>
        <v xml:space="preserve">Nº de personas </v>
      </c>
      <c r="Q5" s="63" t="str">
        <f>'Huella Completa'!E9</f>
        <v>Presupuesto en €</v>
      </c>
    </row>
    <row r="6" spans="1:22">
      <c r="A6" s="63" t="s">
        <v>452</v>
      </c>
      <c r="B6" s="63">
        <f>VLOOKUP('Calculos 2'!A6,'Huella Completa'!A20:G706,3,FALSE)*(IF(VLOOKUP('Calculos 2'!A6,'Huella Completa'!A20:G706,4,FALSE)="Gasolina",Gasolina,IF(VLOOKUP('Calculos 2'!A6,'Huella Completa'!A20:G706,4,FALSE)="Diesel",Diesel,IF(VLOOKUP('Calculos 2'!A6,'Huella Completa'!A20:G706,4,FALSE)="GLP",GLP,0))))</f>
        <v>0</v>
      </c>
      <c r="E6" s="93" t="s">
        <v>1072</v>
      </c>
      <c r="F6" s="63" t="e">
        <f ca="1">_xlfn.AGGREGATE(9,6,emi_04.01,emi_04.02,emi_04.03)</f>
        <v>#NAME?</v>
      </c>
      <c r="G6" s="63" t="e">
        <f t="shared" ca="1" si="0"/>
        <v>#NAME?</v>
      </c>
      <c r="N6" s="63" t="str">
        <f>'Huella Completa'!B10</f>
        <v>Preproducción</v>
      </c>
      <c r="O6" s="63">
        <f>'Huella Completa'!C10</f>
        <v>0</v>
      </c>
      <c r="P6" s="63">
        <f>'Huella Completa'!D10</f>
        <v>0</v>
      </c>
      <c r="Q6" s="63">
        <f>'Huella Completa'!E10</f>
        <v>0</v>
      </c>
      <c r="R6" s="63">
        <f>O6*P6</f>
        <v>0</v>
      </c>
      <c r="S6" s="96" t="e">
        <f ca="1">$Q$2*R6</f>
        <v>#NAME?</v>
      </c>
      <c r="T6" s="96" t="e">
        <f ca="1">$O$2*Q6</f>
        <v>#NAME?</v>
      </c>
    </row>
    <row r="7" spans="1:22">
      <c r="A7" s="63" t="s">
        <v>453</v>
      </c>
      <c r="B7" s="63">
        <f>VLOOKUP('Calculos 2'!A7,'Huella Completa'!A21:G707,3,FALSE)*(IF(VLOOKUP('Calculos 2'!A7,'Huella Completa'!A21:G707,4,FALSE)="Gasolina",Gasolina,IF(VLOOKUP('Calculos 2'!A7,'Huella Completa'!A21:G707,4,FALSE)="Diesel",Diesel,IF(VLOOKUP('Calculos 2'!A7,'Huella Completa'!A21:G707,4,FALSE)="GLP",GLP,0))))</f>
        <v>0</v>
      </c>
      <c r="E7" s="93" t="s">
        <v>1077</v>
      </c>
      <c r="F7" s="63" t="e">
        <f ca="1">_xlfn.AGGREGATE(9,6,emi_06.01,emi_05.03)</f>
        <v>#NAME?</v>
      </c>
      <c r="G7" s="63" t="e">
        <f t="shared" ca="1" si="0"/>
        <v>#NAME?</v>
      </c>
      <c r="N7" s="63" t="str">
        <f>'Huella Completa'!B11</f>
        <v>Producción</v>
      </c>
      <c r="O7" s="63">
        <f>'Huella Completa'!C11</f>
        <v>0</v>
      </c>
      <c r="P7" s="63">
        <f>'Huella Completa'!D11</f>
        <v>0</v>
      </c>
      <c r="Q7" s="63">
        <f>'Huella Completa'!E11</f>
        <v>0</v>
      </c>
      <c r="R7" s="63">
        <f t="shared" ref="R7:R8" si="2">O7*P7</f>
        <v>0</v>
      </c>
      <c r="S7" s="96" t="e">
        <f t="shared" ref="S7:S8" ca="1" si="3">$Q$2*R7</f>
        <v>#NAME?</v>
      </c>
      <c r="T7" s="96" t="e">
        <f t="shared" ref="T7:T8" ca="1" si="4">$O$2*Q7</f>
        <v>#NAME?</v>
      </c>
    </row>
    <row r="8" spans="1:22">
      <c r="A8" s="63" t="s">
        <v>454</v>
      </c>
      <c r="B8" s="63">
        <f>VLOOKUP('Calculos 2'!A8,'Huella Completa'!A23:G708,3,FALSE)*(IF(VLOOKUP('Calculos 2'!A8,'Huella Completa'!A23:G708,4,FALSE)="Gasolina",Gasolina,IF(VLOOKUP('Calculos 2'!A8,'Huella Completa'!A23:G708,4,FALSE)="Diesel",Diesel,IF(VLOOKUP('Calculos 2'!A8,'Huella Completa'!A23:G708,4,FALSE)="GLP",GLP,0))))</f>
        <v>0</v>
      </c>
      <c r="E8" s="93"/>
      <c r="N8" s="63" t="str">
        <f>'Huella Completa'!B12</f>
        <v>Postproducción</v>
      </c>
      <c r="O8" s="63">
        <f>'Huella Completa'!C12</f>
        <v>0</v>
      </c>
      <c r="P8" s="63">
        <f>'Huella Completa'!D12</f>
        <v>0</v>
      </c>
      <c r="Q8" s="63">
        <f>'Huella Completa'!E12</f>
        <v>0</v>
      </c>
      <c r="R8" s="63">
        <f t="shared" si="2"/>
        <v>0</v>
      </c>
      <c r="S8" s="96" t="e">
        <f t="shared" ca="1" si="3"/>
        <v>#NAME?</v>
      </c>
      <c r="T8" s="96" t="e">
        <f t="shared" ca="1" si="4"/>
        <v>#NAME?</v>
      </c>
    </row>
    <row r="9" spans="1:22">
      <c r="A9" s="63" t="s">
        <v>455</v>
      </c>
      <c r="B9" s="63">
        <f>VLOOKUP('Calculos 2'!A9,'Huella Completa'!A24:G709,3,FALSE)*(IF(VLOOKUP('Calculos 2'!A9,'Huella Completa'!A24:G709,4,FALSE)="Gasolina",Gasolina,IF(VLOOKUP('Calculos 2'!A9,'Huella Completa'!A24:G709,4,FALSE)="Diesel",Diesel,IF(VLOOKUP('Calculos 2'!A9,'Huella Completa'!A24:G709,4,FALSE)="GLP",GLP,0))))</f>
        <v>0</v>
      </c>
      <c r="I9" s="63" t="s">
        <v>1068</v>
      </c>
      <c r="J9" s="63" t="s">
        <v>1067</v>
      </c>
      <c r="P9" s="63">
        <f>O6*P6+O7*P7+O8*P8</f>
        <v>0</v>
      </c>
      <c r="R9" s="63" t="s">
        <v>1090</v>
      </c>
      <c r="S9" s="96" t="e">
        <f ca="1">SUM(S6:S8)</f>
        <v>#NAME?</v>
      </c>
      <c r="T9" s="96" t="e">
        <f ca="1">SUM(T6:T8)</f>
        <v>#NAME?</v>
      </c>
    </row>
    <row r="10" spans="1:22">
      <c r="A10" s="63" t="s">
        <v>456</v>
      </c>
      <c r="B10" s="63">
        <f>VLOOKUP('Calculos 2'!A10,'Huella Completa'!A25:G710,3,FALSE)*(IF(VLOOKUP('Calculos 2'!A10,'Huella Completa'!A25:G710,4,FALSE)="Gasolina",Gasolina,IF(VLOOKUP('Calculos 2'!A10,'Huella Completa'!A25:G710,4,FALSE)="Diesel",Diesel,IF(VLOOKUP('Calculos 2'!A10,'Huella Completa'!A25:G710,4,FALSE)="GLP",GLP,0))))</f>
        <v>0</v>
      </c>
      <c r="I10" s="63" t="s">
        <v>1069</v>
      </c>
      <c r="J10" s="63" t="s">
        <v>1070</v>
      </c>
    </row>
    <row r="11" spans="1:22">
      <c r="A11" s="63" t="s">
        <v>457</v>
      </c>
      <c r="B11" s="63">
        <f>VLOOKUP('Calculos 2'!A11,'Huella Completa'!A26:G711,3,FALSE)*(IF(VLOOKUP('Calculos 2'!A11,'Huella Completa'!A26:G711,4,FALSE)="Gasolina",Gasolina,IF(VLOOKUP('Calculos 2'!A11,'Huella Completa'!A26:G711,4,FALSE)="Diesel",Diesel,IF(VLOOKUP('Calculos 2'!A11,'Huella Completa'!A26:G711,4,FALSE)="GLP",GLP,0))))</f>
        <v>0</v>
      </c>
      <c r="I11" s="63" t="s">
        <v>1071</v>
      </c>
      <c r="J11" s="63" t="s">
        <v>154</v>
      </c>
    </row>
    <row r="12" spans="1:22">
      <c r="A12" s="63" t="s">
        <v>1010</v>
      </c>
      <c r="B12" s="63" t="e">
        <f>VLOOKUP('Calculos 2'!A12,'Huella Completa'!A34:G712,3,FALSE)*(IF(VLOOKUP('Calculos 2'!A12,'Huella Completa'!A34:G712,4,FALSE)="Gasolina",Gasolina,IF(VLOOKUP('Calculos 2'!A12,'Huella Completa'!A34:G712,4,FALSE)="Diesel",Diesel,IF(VLOOKUP('Calculos 2'!A12,'Huella Completa'!A34:G712,4,FALSE)="GLP",GLP,0))))</f>
        <v>#N/A</v>
      </c>
      <c r="I12" s="63" t="s">
        <v>1073</v>
      </c>
      <c r="J12" s="63" t="s">
        <v>1074</v>
      </c>
    </row>
    <row r="13" spans="1:22">
      <c r="A13" s="63" t="s">
        <v>1011</v>
      </c>
      <c r="B13" s="63" t="e">
        <f>VLOOKUP('Calculos 2'!A13,'Huella Completa'!A35:G713,3,FALSE)*(IF(VLOOKUP('Calculos 2'!A13,'Huella Completa'!A35:G713,4,FALSE)="Gasolina",Gasolina,IF(VLOOKUP('Calculos 2'!A13,'Huella Completa'!A35:G713,4,FALSE)="Diesel",Diesel,IF(VLOOKUP('Calculos 2'!A13,'Huella Completa'!A35:G713,4,FALSE)="GLP",GLP,0))))</f>
        <v>#N/A</v>
      </c>
      <c r="I13" s="63" t="s">
        <v>1075</v>
      </c>
      <c r="J13" s="63" t="s">
        <v>1076</v>
      </c>
    </row>
    <row r="14" spans="1:22">
      <c r="A14" s="63" t="s">
        <v>1012</v>
      </c>
      <c r="B14" s="63" t="e">
        <f>VLOOKUP('Calculos 2'!A14,'Huella Completa'!A36:G714,3,FALSE)*(IF(VLOOKUP('Calculos 2'!A14,'Huella Completa'!A36:G714,4,FALSE)="Gasolina",Gasolina,IF(VLOOKUP('Calculos 2'!A14,'Huella Completa'!A36:G714,4,FALSE)="Diesel",Diesel,IF(VLOOKUP('Calculos 2'!A14,'Huella Completa'!A36:G714,4,FALSE)="GLP",GLP,0))))</f>
        <v>#N/A</v>
      </c>
    </row>
    <row r="15" spans="1:22">
      <c r="A15" s="63" t="s">
        <v>1013</v>
      </c>
      <c r="B15" s="63" t="e">
        <f>VLOOKUP('Calculos 2'!A15,'Huella Completa'!A37:G715,3,FALSE)*(IF(VLOOKUP('Calculos 2'!A15,'Huella Completa'!A37:G715,4,FALSE)="Gasolina",Gasolina,IF(VLOOKUP('Calculos 2'!A15,'Huella Completa'!A37:G715,4,FALSE)="Diesel",Diesel,IF(VLOOKUP('Calculos 2'!A15,'Huella Completa'!A37:G715,4,FALSE)="GLP",GLP,0))))</f>
        <v>#N/A</v>
      </c>
      <c r="E15" s="63" t="s">
        <v>1080</v>
      </c>
    </row>
    <row r="16" spans="1:22">
      <c r="A16" s="63" t="s">
        <v>1014</v>
      </c>
      <c r="B16" s="63" t="e">
        <f>VLOOKUP('Calculos 2'!A16,'Huella Completa'!A38:G716,3,FALSE)*(IF(VLOOKUP('Calculos 2'!A16,'Huella Completa'!A38:G716,4,FALSE)="Gasolina",Gasolina,IF(VLOOKUP('Calculos 2'!A16,'Huella Completa'!A38:G716,4,FALSE)="Diesel",Diesel,IF(VLOOKUP('Calculos 2'!A16,'Huella Completa'!A38:G716,4,FALSE)="GLP",GLP,0))))</f>
        <v>#N/A</v>
      </c>
      <c r="E16" s="93" t="s">
        <v>997</v>
      </c>
    </row>
    <row r="17" spans="1:26">
      <c r="A17" s="63" t="s">
        <v>1015</v>
      </c>
      <c r="B17" s="63" t="e">
        <f>VLOOKUP('Calculos 2'!A17,'Huella Completa'!A39:G717,3,FALSE)*(IF(VLOOKUP('Calculos 2'!A17,'Huella Completa'!A39:G717,4,FALSE)="Gasolina",Gasolina,IF(VLOOKUP('Calculos 2'!A17,'Huella Completa'!A39:G717,4,FALSE)="Diesel",Diesel,IF(VLOOKUP('Calculos 2'!A17,'Huella Completa'!A39:G717,4,FALSE)="GLP",GLP,0))))</f>
        <v>#N/A</v>
      </c>
      <c r="E17" s="63" t="str">
        <f>IF(pre_vehiculo="siempre","¡Genial! Has usado vehículo eléctrico o híbrido  para el transporte en la fase de preproducción.",IF(pre_vehiculo="normalmente","¡Muy bien! has intentado usar el vehículo eléctrico o híbrido siempre que has podido en la preproducción sigue así.",IF(pre_vehiculo="a veces","Un primer paso siempre es importante. Sigue intentando usar el vehículo eléctrico o híbrido en tus viajes.",IF(pre_vehiculo="nunca","Plantéate usar el vehículo eléctrico o híbrido en tus viajes de la preproducción. Con esta decisión puedes bajar significativamente la huella de carbono."," "))))</f>
        <v xml:space="preserve"> </v>
      </c>
    </row>
    <row r="18" spans="1:26">
      <c r="A18" s="63" t="s">
        <v>1016</v>
      </c>
      <c r="B18" s="63" t="e">
        <f>VLOOKUP('Calculos 2'!A18,'Huella Completa'!A40:G718,3,FALSE)*(IF(VLOOKUP('Calculos 2'!A18,'Huella Completa'!A40:G718,4,FALSE)="Gasolina",Gasolina,IF(VLOOKUP('Calculos 2'!A18,'Huella Completa'!A40:G718,4,FALSE)="Diesel",Diesel,IF(VLOOKUP('Calculos 2'!A18,'Huella Completa'!A40:G718,4,FALSE)="GLP",GLP,0))))</f>
        <v>#N/A</v>
      </c>
      <c r="E18" s="63" t="s">
        <v>1079</v>
      </c>
    </row>
    <row r="19" spans="1:26">
      <c r="A19" s="63" t="s">
        <v>1017</v>
      </c>
      <c r="B19" s="63" t="e">
        <f>VLOOKUP('Calculos 2'!A19,'Huella Completa'!A41:G719,3,FALSE)*(IF(VLOOKUP('Calculos 2'!A19,'Huella Completa'!A41:G719,4,FALSE)="Gasolina",Gasolina,IF(VLOOKUP('Calculos 2'!A19,'Huella Completa'!A41:G719,4,FALSE)="Diesel",Diesel,IF(VLOOKUP('Calculos 2'!A19,'Huella Completa'!A41:G719,4,FALSE)="GLP",GLP,0))))</f>
        <v>#N/A</v>
      </c>
      <c r="E19" s="63" t="str">
        <f>IF(Elec_hotel1="siempre","¡Genial! Has elegido contratar hoteles y hospedaje con certificado de sostenibilidad.",IF(Elec_hotel1="normalmente","¡Muy bien! has intentado contratar hoteles certificado de sostenibilidad.",IF(Elec_hotel1="a veces","Un primer paso siempre es importante. Sigue intentando contratar alojamientos con certificado de sostenibilidad para mejorar tu huella de carbono.",IF(Elec_hotel1="nunca","Plantéate contratar alojamientos con certificado de sostenibilidad. Con esta decisión puedes bajar significativamente la huella de carbono."," "))))</f>
        <v xml:space="preserve"> </v>
      </c>
    </row>
    <row r="20" spans="1:26">
      <c r="A20" s="63" t="s">
        <v>1018</v>
      </c>
      <c r="B20" s="63" t="e">
        <f>VLOOKUP('Calculos 2'!A20,'Huella Completa'!A42:G720,3,FALSE)*(IF(VLOOKUP('Calculos 2'!A20,'Huella Completa'!A42:G720,4,FALSE)="Gasolina",Gasolina,IF(VLOOKUP('Calculos 2'!A20,'Huella Completa'!A42:G720,4,FALSE)="Diesel",Diesel,IF(VLOOKUP('Calculos 2'!A20,'Huella Completa'!A42:G720,4,FALSE)="GLP",GLP,0))))</f>
        <v>#N/A</v>
      </c>
      <c r="E20" s="93" t="s">
        <v>998</v>
      </c>
    </row>
    <row r="21" spans="1:26">
      <c r="A21" s="63" t="s">
        <v>1019</v>
      </c>
      <c r="B21" s="63" t="e">
        <f>VLOOKUP('Calculos 2'!A21,'Huella Completa'!A43:G721,3,FALSE)*(IF(VLOOKUP('Calculos 2'!A21,'Huella Completa'!A43:G721,4,FALSE)="Gasolina",Gasolina,IF(VLOOKUP('Calculos 2'!A21,'Huella Completa'!A43:G721,4,FALSE)="Diesel",Diesel,IF(VLOOKUP('Calculos 2'!A21,'Huella Completa'!A43:G721,4,FALSE)="GLP",GLP,0))))</f>
        <v>#N/A</v>
      </c>
      <c r="E21" s="63" t="str">
        <f>IF(pro_vehiculo="siempre","¡Genial! Has usado vehículo eléctrico o híbrido  para el transporte.",IF(pro_vehiculo="normalmente","¡Muy bien! has intentado usar el vehículo eléctrico o híbrido siempre que has podido, sigue así.",IF(pro_vehiculo="a veces","Un primer paso siempre es importante. Sigue intentando usar el vehículo eléctrico o híbrido en tus viajes.",IF(pro_vehiculo="nunca","Plantéate usar el vehículo eléctrico o híbrido en tus viajes. Con esta decisión puedes bajar significativamente la huella de carbono."," "))))</f>
        <v xml:space="preserve"> </v>
      </c>
    </row>
    <row r="22" spans="1:26">
      <c r="A22" s="63" t="s">
        <v>1021</v>
      </c>
      <c r="B22" s="63" t="e">
        <f>VLOOKUP('Calculos 2'!A22,'Huella Completa'!A44:G722,3,FALSE)*(IF(VLOOKUP('Calculos 2'!A22,'Huella Completa'!A44:G722,4,FALSE)="Gasolina",Gasolina,IF(VLOOKUP('Calculos 2'!A22,'Huella Completa'!A44:G722,4,FALSE)="Diesel",Diesel,IF(VLOOKUP('Calculos 2'!A22,'Huella Completa'!A44:G722,4,FALSE)="GLP",GLP,0))))</f>
        <v>#N/A</v>
      </c>
      <c r="E22" s="63" t="s">
        <v>1079</v>
      </c>
    </row>
    <row r="23" spans="1:26">
      <c r="A23" s="63" t="s">
        <v>1022</v>
      </c>
      <c r="B23" s="63" t="e">
        <f>VLOOKUP('Calculos 2'!A23,'Huella Completa'!A45:G723,3,FALSE)*(IF(VLOOKUP('Calculos 2'!A23,'Huella Completa'!A45:G723,4,FALSE)="Gasolina",Gasolina,IF(VLOOKUP('Calculos 2'!A23,'Huella Completa'!A45:G723,4,FALSE)="Diesel",Diesel,IF(VLOOKUP('Calculos 2'!A23,'Huella Completa'!A45:G723,4,FALSE)="GLP",GLP,0))))</f>
        <v>#N/A</v>
      </c>
      <c r="E23" s="63" t="str">
        <f>IF(pro_distancia="siempre","¡Estupendo! Tener el alojamiento cerca del set de rodaje hace reducir mucho la huella de carbono por transporte.",IF(pro_distancia="normalmente","Muy bien, sigue buscando alojamientos cercanos al set de rodaje eso hace tu huella de carbono menor.",IF(pro_distancia="a veces","A veces no es fácil encontrar el alojamiento adecuado cerca del set de rodaje sigue intentándolo para tus próximos rodajes.",IF(pro_distancia="nunca","Te proponemos que intentes buscar alojamientos lo más cercanos posible al set de rodaje para reducir tu huella de carbono."," "))))</f>
        <v xml:space="preserve"> </v>
      </c>
    </row>
    <row r="24" spans="1:26">
      <c r="A24" s="63" t="s">
        <v>1023</v>
      </c>
      <c r="B24" s="63" t="e">
        <f>VLOOKUP('Calculos 2'!A24,'Huella Completa'!A46:G724,3,FALSE)*(IF(VLOOKUP('Calculos 2'!A24,'Huella Completa'!A46:G724,4,FALSE)="Gasolina",Gasolina,IF(VLOOKUP('Calculos 2'!A24,'Huella Completa'!A46:G724,4,FALSE)="Diesel",Diesel,IF(VLOOKUP('Calculos 2'!A24,'Huella Completa'!A46:G724,4,FALSE)="GLP",GLP,0))))</f>
        <v>#N/A</v>
      </c>
      <c r="E24" s="63" t="str">
        <f>IF(Elec_hotel2="siempre","¡Genial! Has elegido contratar hoteles y hospedaje con certificado de sostenibilidad.",IF(Elec_hotel2="normalmente","¡Muy bien! has intentado contratar hoteles certificado de sostenibilidad.",IF(Elec_hotel2="a veces","Un primer paso siempre es importante. Sigue intentando contratar alojamientos con certificado de sostenibilidad para mejorar tu huella de carbono.",IF(Elec_hotel2="nunca","Plantéate contratar alojamientos con certificado de sostenibilidad. Con esta decisión puedes bajar significativamente la huella de carbono."," "))))</f>
        <v xml:space="preserve"> </v>
      </c>
    </row>
    <row r="25" spans="1:26">
      <c r="A25" s="63" t="s">
        <v>1024</v>
      </c>
      <c r="B25" s="63" t="e">
        <f>VLOOKUP('Calculos 2'!A25,'Huella Completa'!A47:G725,3,FALSE)*(IF(VLOOKUP('Calculos 2'!A25,'Huella Completa'!A47:G725,4,FALSE)="Gasolina",Gasolina,IF(VLOOKUP('Calculos 2'!A25,'Huella Completa'!A47:G725,4,FALSE)="Diesel",Diesel,IF(VLOOKUP('Calculos 2'!A25,'Huella Completa'!A47:G725,4,FALSE)="GLP",GLP,0))))</f>
        <v>#N/A</v>
      </c>
      <c r="E25" s="63" t="str">
        <f>IF(pro_cate_veg="siempre","Muy bien, dar siempre una opción vegetariana en el catering reduce tu huella de carbono.",IF(pro_cate_veg="normalmente","Sigue trabajando para dar siempre una opción de catering vegetariano en tus producciones y reducirás tu huella de carbono.",IF(pro_cate_veg="a veces","Sigue intentándolo, dar opción vegetariana en el catering reduce tu huella de carbono.",IF(pro_cate_veg="nunca","Te sugerimos introducir la opción de catering vegetariano en la producción, es una forma saludable de reducir tu huella de carbono."," "))))</f>
        <v xml:space="preserve"> </v>
      </c>
    </row>
    <row r="26" spans="1:26">
      <c r="A26" s="63" t="s">
        <v>1025</v>
      </c>
      <c r="B26" s="63" t="e">
        <f>VLOOKUP('Calculos 2'!A26,'Huella Completa'!A48:G726,3,FALSE)*(IF(VLOOKUP('Calculos 2'!A26,'Huella Completa'!A48:G726,4,FALSE)="Gasolina",Gasolina,IF(VLOOKUP('Calculos 2'!A26,'Huella Completa'!A48:G726,4,FALSE)="Diesel",Diesel,IF(VLOOKUP('Calculos 2'!A26,'Huella Completa'!A48:G726,4,FALSE)="GLP",GLP,0))))</f>
        <v>#N/A</v>
      </c>
      <c r="E26" s="63" t="str">
        <f>IF(pro_cate_loc="siempre","¡Fenomenal! contratar siempre un catering que utilice productos locales y de cercanía es la mejor opción para reducir tu huella de carbono.",IF(pro_cate_loc="normalmente","Sigue trabajando para contratar siempre catering que utilice productos locales y de cercanía es la mejor opción para reducir tu huella de carbono.",IF(pro_cate_loc="a veces","Sigue intentándolo, contratar siempre catering que utilice productos locales y de cercanía es la mejor opción para reducir tu huella de carbono.",IF(pro_cate_loc="nunca","Te sugerimos contratar siempre catering que utilice productos locales y de cercanía es la mejor opción para reducir tu huella de carbono."," "))))</f>
        <v xml:space="preserve"> </v>
      </c>
    </row>
    <row r="27" spans="1:26">
      <c r="A27" s="63" t="s">
        <v>1026</v>
      </c>
      <c r="B27" s="63" t="e">
        <f>VLOOKUP('Calculos 2'!A27,'Huella Completa'!A49:G727,3,FALSE)*(IF(VLOOKUP('Calculos 2'!A27,'Huella Completa'!A49:G727,4,FALSE)="Gasolina",Gasolina,IF(VLOOKUP('Calculos 2'!A27,'Huella Completa'!A49:G727,4,FALSE)="Diesel",Diesel,IF(VLOOKUP('Calculos 2'!A27,'Huella Completa'!A49:G727,4,FALSE)="GLP",GLP,0))))</f>
        <v>#N/A</v>
      </c>
      <c r="E27" s="63" t="str">
        <f>IF(pro_gen_ele="siempre","¡Estupendo! la generación de electricidad provoca emisiones directas a la atmósfera, si utilizas sistemas más sostenibles tu huella se reduce directamente.",IF(pro_gen_ele="normalmente","Muy bien, la generación de electricidad provoca emisiones directas a la atmósfera, si utilizas sistemas más sostenibles tu huella se reduce directamente.",IF(pro_gen_ele="a veces","Sigue intentándolo, la generación de electricidad provoca emisiones directas a la atmósfera, si utilizas sistemas más sostenibles tu huella se reduce directamente.",IF(pro_gen_ele="nunca","Como consejo utiliza siempre que puedas grupos electrógenos más sostenibles. La generación de electricidad provoca emisiones directas a la atmósfera, si utilizas sistemas más sostenibles tu huella se reduce directamente."," "))))</f>
        <v xml:space="preserve"> </v>
      </c>
    </row>
    <row r="28" spans="1:26">
      <c r="A28" s="63" t="s">
        <v>1027</v>
      </c>
      <c r="B28" s="63" t="e">
        <f>VLOOKUP('Calculos 2'!A28,'Huella Completa'!A50:G728,3,FALSE)*(IF(VLOOKUP('Calculos 2'!A28,'Huella Completa'!A50:G728,4,FALSE)="Gasolina",Gasolina,IF(VLOOKUP('Calculos 2'!A28,'Huella Completa'!A50:G728,4,FALSE)="Diesel",Diesel,IF(VLOOKUP('Calculos 2'!A28,'Huella Completa'!A50:G728,4,FALSE)="GLP",GLP,0))))</f>
        <v>#N/A</v>
      </c>
      <c r="E28" s="63" t="s">
        <v>1091</v>
      </c>
    </row>
    <row r="29" spans="1:26">
      <c r="A29" s="63" t="s">
        <v>1028</v>
      </c>
      <c r="B29" s="63" t="e">
        <f>VLOOKUP('Calculos 2'!A29,'Huella Completa'!A51:G729,3,FALSE)*(IF(VLOOKUP('Calculos 2'!A29,'Huella Completa'!A51:G729,4,FALSE)="Gasolina",Gasolina,IF(VLOOKUP('Calculos 2'!A29,'Huella Completa'!A51:G729,4,FALSE)="Diesel",Diesel,IF(VLOOKUP('Calculos 2'!A29,'Huella Completa'!A51:G729,4,FALSE)="GLP",GLP,0))))</f>
        <v>#N/A</v>
      </c>
      <c r="E29" s="63" t="str">
        <f>IF(pro_ilu_efi="siempre","¡Genial! Una iluminación eficiente puede suponer el descenso de hasta el 70% de tu huella de carbono producida por la iluminación.",IF(pro_ilu_efi="normalmente","¡Estupendo! Una iluminación eficiente puede suponer el descenso de hasta el 70% de tu huella de carbono producida por la iluminación.",IF(pro_ilu_efi="a veces","Sigue intentado utilizar iluminación eficiente. Una iluminación eficiente puede suponer el descenso de hasta el 70% de tu huella de carbono producida por la iluminación.",IF(pro_ilu_efi="nunca","Te proponemos que intentes utilizar una iluminación más eficiente. Una iluminación eficiente puede suponer el descenso de hasta el 70% de tu huella de carbono producida por la iluminación."," "))))</f>
        <v xml:space="preserve"> </v>
      </c>
    </row>
    <row r="30" spans="1:26">
      <c r="A30" s="63" t="s">
        <v>1029</v>
      </c>
      <c r="B30" s="63" t="e">
        <f>VLOOKUP('Calculos 2'!A30,'Huella Completa'!A52:G730,3,FALSE)*(IF(VLOOKUP('Calculos 2'!A30,'Huella Completa'!A52:G730,4,FALSE)="Gasolina",Gasolina,IF(VLOOKUP('Calculos 2'!A30,'Huella Completa'!A52:G730,4,FALSE)="Diesel",Diesel,IF(VLOOKUP('Calculos 2'!A30,'Huella Completa'!A52:G730,4,FALSE)="GLP",GLP,0))))</f>
        <v>#N/A</v>
      </c>
      <c r="E30" s="63" t="s">
        <v>1092</v>
      </c>
    </row>
    <row r="31" spans="1:26">
      <c r="A31" s="63" t="s">
        <v>1030</v>
      </c>
      <c r="B31" s="63" t="e">
        <f>VLOOKUP('Calculos 2'!A31,'Huella Completa'!A53:G731,3,FALSE)*(IF(VLOOKUP('Calculos 2'!A31,'Huella Completa'!A53:G731,4,FALSE)="Gasolina",Gasolina,IF(VLOOKUP('Calculos 2'!A31,'Huella Completa'!A53:G731,4,FALSE)="Diesel",Diesel,IF(VLOOKUP('Calculos 2'!A31,'Huella Completa'!A53:G731,4,FALSE)="GLP",GLP,0))))</f>
        <v>#N/A</v>
      </c>
      <c r="E31" s="63" t="s">
        <v>1093</v>
      </c>
    </row>
    <row r="32" spans="1:26" s="2" customFormat="1">
      <c r="A32" s="97" t="s">
        <v>1020</v>
      </c>
      <c r="B32" s="97"/>
      <c r="C32" s="97" t="e">
        <f ca="1">_xlfn.AGGREGATE(9,6,B2:B32)</f>
        <v>#NAME?</v>
      </c>
      <c r="D32" s="97"/>
      <c r="E32" s="97"/>
      <c r="F32" s="97"/>
      <c r="G32" s="97"/>
      <c r="H32" s="97"/>
      <c r="I32" s="97"/>
      <c r="J32" s="97"/>
      <c r="K32" s="97"/>
      <c r="L32" s="97"/>
      <c r="M32" s="97"/>
      <c r="N32" s="97"/>
      <c r="O32" s="97"/>
      <c r="P32" s="97"/>
      <c r="Q32" s="97"/>
      <c r="R32" s="97"/>
      <c r="S32" s="97"/>
      <c r="T32" s="97"/>
      <c r="U32" s="97"/>
      <c r="V32" s="97"/>
      <c r="W32" s="97"/>
      <c r="X32" s="97"/>
      <c r="Y32" s="97"/>
      <c r="Z32" s="97"/>
    </row>
    <row r="34" spans="1:5">
      <c r="A34" s="63" t="s">
        <v>428</v>
      </c>
      <c r="B34" s="63">
        <f>VLOOKUP('Calculos 2'!A34,'Huella Completa'!A16:G702,4,FALSE)*VLOOKUP('Calculos 2'!A34,'Huella Completa'!A16:G702,5,FALSE)*(IF(VLOOKUP('Calculos 2'!A34,'Huella Completa'!A16:G702,3,FALSE)="Tren",Tren,IF(VLOOKUP('Calculos 2'!A34,'Huella Completa'!A16:G702,3,FALSE)="Autobús",Autobús,IF(VLOOKUP('Calculos 2'!A34,'Huella Completa'!A16:G702,3,FALSE)="Avión",Avión,0))))</f>
        <v>0</v>
      </c>
      <c r="E34" s="63" t="str">
        <f>IF(pro_con_agua="siempre","¡Genial! El agua es un recurso escaso en muchas localizaciones reutilizarla te hace tener menor huella hídrica y de carbono.",IF(pro_con_agua="normalmente","¡Estupendo! El agua es un recurso escaso en muchas localizaciones reutilizarla te hace tener menor huella hídrica y de carbono.",IF(pro_con_agua="a veces","Sigue intentado reutilizar el agua. El agua es un recurso escaso en muchas localizaciones.",IF(pro_con_agua="nunca","Te proponemos que intentes reutilizar el agua gastada en las localizaciones."," "))))</f>
        <v xml:space="preserve"> </v>
      </c>
    </row>
    <row r="35" spans="1:5">
      <c r="A35" s="63" t="s">
        <v>429</v>
      </c>
      <c r="B35" s="63">
        <f>VLOOKUP('Calculos 2'!A35,'Huella Completa'!A17:G703,4,FALSE)*VLOOKUP('Calculos 2'!A35,'Huella Completa'!A17:G703,5,FALSE)*(IF(VLOOKUP('Calculos 2'!A35,'Huella Completa'!A17:G703,3,FALSE)="Tren",Tren,IF(VLOOKUP('Calculos 2'!A35,'Huella Completa'!A17:G703,3,FALSE)="Autobús",Autobús,IF(VLOOKUP('Calculos 2'!A35,'Huella Completa'!A17:G703,3,FALSE)="Avión",Avión,0))))</f>
        <v>0</v>
      </c>
    </row>
    <row r="36" spans="1:5">
      <c r="A36" s="63" t="s">
        <v>430</v>
      </c>
      <c r="B36" s="63">
        <f>VLOOKUP('Calculos 2'!A36,'Huella Completa'!A18:G704,4,FALSE)*VLOOKUP('Calculos 2'!A36,'Huella Completa'!A18:G704,5,FALSE)*(IF(VLOOKUP('Calculos 2'!A36,'Huella Completa'!A18:G704,3,FALSE)="Tren",Tren,IF(VLOOKUP('Calculos 2'!A36,'Huella Completa'!A18:G704,3,FALSE)="Autobús",Autobús,IF(VLOOKUP('Calculos 2'!A36,'Huella Completa'!A18:G704,3,FALSE)="Avión",Avión,0))))</f>
        <v>0</v>
      </c>
    </row>
    <row r="37" spans="1:5">
      <c r="A37" s="63" t="s">
        <v>431</v>
      </c>
      <c r="B37" s="63">
        <f>VLOOKUP('Calculos 2'!A37,'Huella Completa'!A19:G705,4,FALSE)*VLOOKUP('Calculos 2'!A37,'Huella Completa'!A19:G705,5,FALSE)*(IF(VLOOKUP('Calculos 2'!A37,'Huella Completa'!A19:G705,3,FALSE)="Tren",Tren,IF(VLOOKUP('Calculos 2'!A37,'Huella Completa'!A19:G705,3,FALSE)="Autobús",Autobús,IF(VLOOKUP('Calculos 2'!A37,'Huella Completa'!A19:G705,3,FALSE)="Avión",Avión,0))))</f>
        <v>0</v>
      </c>
    </row>
    <row r="38" spans="1:5">
      <c r="A38" s="63" t="s">
        <v>432</v>
      </c>
      <c r="B38" s="63">
        <f>VLOOKUP('Calculos 2'!A38,'Huella Completa'!A20:G706,4,FALSE)*VLOOKUP('Calculos 2'!A38,'Huella Completa'!A20:G706,5,FALSE)*(IF(VLOOKUP('Calculos 2'!A38,'Huella Completa'!A20:G706,3,FALSE)="Tren",Tren,IF(VLOOKUP('Calculos 2'!A38,'Huella Completa'!A20:G706,3,FALSE)="Autobús",Autobús,IF(VLOOKUP('Calculos 2'!A38,'Huella Completa'!A20:G706,3,FALSE)="Avión",Avión,0))))</f>
        <v>0</v>
      </c>
    </row>
    <row r="39" spans="1:5">
      <c r="A39" s="63" t="s">
        <v>433</v>
      </c>
      <c r="B39" s="63">
        <f>VLOOKUP('Calculos 2'!A39,'Huella Completa'!A21:G707,4,FALSE)*VLOOKUP('Calculos 2'!A39,'Huella Completa'!A21:G707,5,FALSE)*(IF(VLOOKUP('Calculos 2'!A39,'Huella Completa'!A21:G707,3,FALSE)="Tren",Tren,IF(VLOOKUP('Calculos 2'!A39,'Huella Completa'!A21:G707,3,FALSE)="Autobús",Autobús,IF(VLOOKUP('Calculos 2'!A39,'Huella Completa'!A21:G707,3,FALSE)="Avión",Avión,0))))</f>
        <v>0</v>
      </c>
    </row>
    <row r="40" spans="1:5">
      <c r="A40" s="63" t="s">
        <v>434</v>
      </c>
      <c r="B40" s="63">
        <f>VLOOKUP('Calculos 2'!A40,'Huella Completa'!A23:G708,4,FALSE)*VLOOKUP('Calculos 2'!A40,'Huella Completa'!A23:G708,5,FALSE)*(IF(VLOOKUP('Calculos 2'!A40,'Huella Completa'!A23:G708,3,FALSE)="Tren",Tren,IF(VLOOKUP('Calculos 2'!A40,'Huella Completa'!A23:G708,3,FALSE)="Autobús",Autobús,IF(VLOOKUP('Calculos 2'!A40,'Huella Completa'!A23:G708,3,FALSE)="Avión",Avión,0))))</f>
        <v>0</v>
      </c>
    </row>
    <row r="41" spans="1:5">
      <c r="A41" s="63" t="s">
        <v>435</v>
      </c>
      <c r="B41" s="63">
        <f>VLOOKUP('Calculos 2'!A41,'Huella Completa'!A24:G709,4,FALSE)*VLOOKUP('Calculos 2'!A41,'Huella Completa'!A24:G709,5,FALSE)*(IF(VLOOKUP('Calculos 2'!A41,'Huella Completa'!A24:G709,3,FALSE)="Tren",Tren,IF(VLOOKUP('Calculos 2'!A41,'Huella Completa'!A24:G709,3,FALSE)="Autobús",Autobús,IF(VLOOKUP('Calculos 2'!A41,'Huella Completa'!A24:G709,3,FALSE)="Avión",Avión,0))))</f>
        <v>0</v>
      </c>
    </row>
    <row r="42" spans="1:5">
      <c r="A42" s="63" t="s">
        <v>436</v>
      </c>
      <c r="B42" s="63">
        <f>VLOOKUP('Calculos 2'!A42,'Huella Completa'!A25:G710,4,FALSE)*VLOOKUP('Calculos 2'!A42,'Huella Completa'!A25:G710,5,FALSE)*(IF(VLOOKUP('Calculos 2'!A42,'Huella Completa'!A25:G710,3,FALSE)="Tren",Tren,IF(VLOOKUP('Calculos 2'!A42,'Huella Completa'!A25:G710,3,FALSE)="Autobús",Autobús,IF(VLOOKUP('Calculos 2'!A42,'Huella Completa'!A25:G710,3,FALSE)="Avión",Avión,0))))</f>
        <v>0</v>
      </c>
    </row>
    <row r="43" spans="1:5">
      <c r="A43" s="63" t="s">
        <v>437</v>
      </c>
      <c r="B43" s="63">
        <f>VLOOKUP('Calculos 2'!A43,'Huella Completa'!A26:G711,4,FALSE)*VLOOKUP('Calculos 2'!A43,'Huella Completa'!A26:G711,5,FALSE)*(IF(VLOOKUP('Calculos 2'!A43,'Huella Completa'!A26:G711,3,FALSE)="Tren",Tren,IF(VLOOKUP('Calculos 2'!A43,'Huella Completa'!A26:G711,3,FALSE)="Autobús",Autobús,IF(VLOOKUP('Calculos 2'!A43,'Huella Completa'!A26:G711,3,FALSE)="Avión",Avión,0))))</f>
        <v>0</v>
      </c>
    </row>
    <row r="44" spans="1:5">
      <c r="A44" s="63" t="s">
        <v>458</v>
      </c>
      <c r="B44" s="63" t="e">
        <f>VLOOKUP('Calculos 2'!A44,'Huella Completa'!A34:G712,4,FALSE)*VLOOKUP('Calculos 2'!A44,'Huella Completa'!A34:G712,5,FALSE)*(IF(VLOOKUP('Calculos 2'!A44,'Huella Completa'!A34:G712,3,FALSE)="Tren",Tren,IF(VLOOKUP('Calculos 2'!A44,'Huella Completa'!A34:G712,3,FALSE)="Autobús",Autobús,IF(VLOOKUP('Calculos 2'!A44,'Huella Completa'!A34:G712,3,FALSE)="Avión",Avión,0))))</f>
        <v>#N/A</v>
      </c>
    </row>
    <row r="45" spans="1:5">
      <c r="A45" s="63" t="s">
        <v>459</v>
      </c>
      <c r="B45" s="63" t="e">
        <f>VLOOKUP('Calculos 2'!A45,'Huella Completa'!A35:G713,4,FALSE)*VLOOKUP('Calculos 2'!A45,'Huella Completa'!A35:G713,5,FALSE)*(IF(VLOOKUP('Calculos 2'!A45,'Huella Completa'!A35:G713,3,FALSE)="Tren",Tren,IF(VLOOKUP('Calculos 2'!A45,'Huella Completa'!A35:G713,3,FALSE)="Autobús",Autobús,IF(VLOOKUP('Calculos 2'!A45,'Huella Completa'!A35:G713,3,FALSE)="Avión",Avión,0))))</f>
        <v>#N/A</v>
      </c>
    </row>
    <row r="46" spans="1:5">
      <c r="A46" s="63" t="s">
        <v>460</v>
      </c>
      <c r="B46" s="63" t="e">
        <f>VLOOKUP('Calculos 2'!A46,'Huella Completa'!A36:G714,4,FALSE)*VLOOKUP('Calculos 2'!A46,'Huella Completa'!A36:G714,5,FALSE)*(IF(VLOOKUP('Calculos 2'!A46,'Huella Completa'!A36:G714,3,FALSE)="Tren",Tren,IF(VLOOKUP('Calculos 2'!A46,'Huella Completa'!A36:G714,3,FALSE)="Autobús",Autobús,IF(VLOOKUP('Calculos 2'!A46,'Huella Completa'!A36:G714,3,FALSE)="Avión",Avión,0))))</f>
        <v>#N/A</v>
      </c>
    </row>
    <row r="47" spans="1:5">
      <c r="A47" s="63" t="s">
        <v>461</v>
      </c>
      <c r="B47" s="63" t="e">
        <f>VLOOKUP('Calculos 2'!A47,'Huella Completa'!A37:G715,4,FALSE)*VLOOKUP('Calculos 2'!A47,'Huella Completa'!A37:G715,5,FALSE)*(IF(VLOOKUP('Calculos 2'!A47,'Huella Completa'!A37:G715,3,FALSE)="Tren",Tren,IF(VLOOKUP('Calculos 2'!A47,'Huella Completa'!A37:G715,3,FALSE)="Autobús",Autobús,IF(VLOOKUP('Calculos 2'!A47,'Huella Completa'!A37:G715,3,FALSE)="Avión",Avión,0))))</f>
        <v>#N/A</v>
      </c>
    </row>
    <row r="48" spans="1:5">
      <c r="A48" s="63" t="s">
        <v>462</v>
      </c>
      <c r="B48" s="63" t="e">
        <f>VLOOKUP('Calculos 2'!A48,'Huella Completa'!A38:G716,4,FALSE)*VLOOKUP('Calculos 2'!A48,'Huella Completa'!A38:G716,5,FALSE)*(IF(VLOOKUP('Calculos 2'!A48,'Huella Completa'!A38:G716,3,FALSE)="Tren",Tren,IF(VLOOKUP('Calculos 2'!A48,'Huella Completa'!A38:G716,3,FALSE)="Autobús",Autobús,IF(VLOOKUP('Calculos 2'!A48,'Huella Completa'!A38:G716,3,FALSE)="Avión",Avión,0))))</f>
        <v>#N/A</v>
      </c>
    </row>
    <row r="49" spans="1:26">
      <c r="A49" s="63" t="s">
        <v>463</v>
      </c>
      <c r="B49" s="63" t="e">
        <f>VLOOKUP('Calculos 2'!A49,'Huella Completa'!A39:G717,4,FALSE)*VLOOKUP('Calculos 2'!A49,'Huella Completa'!A39:G717,5,FALSE)*(IF(VLOOKUP('Calculos 2'!A49,'Huella Completa'!A39:G717,3,FALSE)="Tren",Tren,IF(VLOOKUP('Calculos 2'!A49,'Huella Completa'!A39:G717,3,FALSE)="Autobús",Autobús,IF(VLOOKUP('Calculos 2'!A49,'Huella Completa'!A39:G717,3,FALSE)="Avión",Avión,0))))</f>
        <v>#N/A</v>
      </c>
    </row>
    <row r="50" spans="1:26">
      <c r="A50" s="63" t="s">
        <v>464</v>
      </c>
      <c r="B50" s="63" t="e">
        <f>VLOOKUP('Calculos 2'!A50,'Huella Completa'!A40:G718,4,FALSE)*VLOOKUP('Calculos 2'!A50,'Huella Completa'!A40:G718,5,FALSE)*(IF(VLOOKUP('Calculos 2'!A50,'Huella Completa'!A40:G718,3,FALSE)="Tren",Tren,IF(VLOOKUP('Calculos 2'!A50,'Huella Completa'!A40:G718,3,FALSE)="Autobús",Autobús,IF(VLOOKUP('Calculos 2'!A50,'Huella Completa'!A40:G718,3,FALSE)="Avión",Avión,0))))</f>
        <v>#N/A</v>
      </c>
    </row>
    <row r="51" spans="1:26">
      <c r="A51" s="63" t="s">
        <v>465</v>
      </c>
      <c r="B51" s="63" t="e">
        <f>VLOOKUP('Calculos 2'!A51,'Huella Completa'!A41:G719,4,FALSE)*VLOOKUP('Calculos 2'!A51,'Huella Completa'!A41:G719,5,FALSE)*(IF(VLOOKUP('Calculos 2'!A51,'Huella Completa'!A41:G719,3,FALSE)="Tren",Tren,IF(VLOOKUP('Calculos 2'!A51,'Huella Completa'!A41:G719,3,FALSE)="Autobús",Autobús,IF(VLOOKUP('Calculos 2'!A51,'Huella Completa'!A41:G719,3,FALSE)="Avión",Avión,0))))</f>
        <v>#N/A</v>
      </c>
    </row>
    <row r="52" spans="1:26">
      <c r="A52" s="63" t="s">
        <v>466</v>
      </c>
      <c r="B52" s="63" t="e">
        <f>VLOOKUP('Calculos 2'!A52,'Huella Completa'!A42:G720,4,FALSE)*VLOOKUP('Calculos 2'!A52,'Huella Completa'!A42:G720,5,FALSE)*(IF(VLOOKUP('Calculos 2'!A52,'Huella Completa'!A42:G720,3,FALSE)="Tren",Tren,IF(VLOOKUP('Calculos 2'!A52,'Huella Completa'!A42:G720,3,FALSE)="Autobús",Autobús,IF(VLOOKUP('Calculos 2'!A52,'Huella Completa'!A42:G720,3,FALSE)="Avión",Avión,0))))</f>
        <v>#N/A</v>
      </c>
    </row>
    <row r="53" spans="1:26">
      <c r="A53" s="63" t="s">
        <v>467</v>
      </c>
      <c r="B53" s="63" t="e">
        <f>VLOOKUP('Calculos 2'!A53,'Huella Completa'!A43:G721,4,FALSE)*VLOOKUP('Calculos 2'!A53,'Huella Completa'!A43:G721,5,FALSE)*(IF(VLOOKUP('Calculos 2'!A53,'Huella Completa'!A43:G721,3,FALSE)="Tren",Tren,IF(VLOOKUP('Calculos 2'!A53,'Huella Completa'!A43:G721,3,FALSE)="Autobús",Autobús,IF(VLOOKUP('Calculos 2'!A53,'Huella Completa'!A43:G721,3,FALSE)="Avión",Avión,0))))</f>
        <v>#N/A</v>
      </c>
    </row>
    <row r="54" spans="1:26">
      <c r="A54" s="63" t="s">
        <v>468</v>
      </c>
      <c r="B54" s="63" t="e">
        <f>VLOOKUP('Calculos 2'!A54,'Huella Completa'!A44:G722,4,FALSE)*VLOOKUP('Calculos 2'!A54,'Huella Completa'!A44:G722,5,FALSE)*(IF(VLOOKUP('Calculos 2'!A54,'Huella Completa'!A44:G722,3,FALSE)="Tren",Tren,IF(VLOOKUP('Calculos 2'!A54,'Huella Completa'!A44:G722,3,FALSE)="Autobús",Autobús,IF(VLOOKUP('Calculos 2'!A54,'Huella Completa'!A44:G722,3,FALSE)="Avión",Avión,0))))</f>
        <v>#N/A</v>
      </c>
    </row>
    <row r="55" spans="1:26">
      <c r="A55" s="63" t="s">
        <v>469</v>
      </c>
      <c r="B55" s="63" t="e">
        <f>VLOOKUP('Calculos 2'!A55,'Huella Completa'!A45:G723,4,FALSE)*VLOOKUP('Calculos 2'!A55,'Huella Completa'!A45:G723,5,FALSE)*(IF(VLOOKUP('Calculos 2'!A55,'Huella Completa'!A45:G723,3,FALSE)="Tren",Tren,IF(VLOOKUP('Calculos 2'!A55,'Huella Completa'!A45:G723,3,FALSE)="Autobús",Autobús,IF(VLOOKUP('Calculos 2'!A55,'Huella Completa'!A45:G723,3,FALSE)="Avión",Avión,0))))</f>
        <v>#N/A</v>
      </c>
    </row>
    <row r="56" spans="1:26">
      <c r="A56" s="63" t="s">
        <v>470</v>
      </c>
      <c r="B56" s="63" t="e">
        <f>VLOOKUP('Calculos 2'!A56,'Huella Completa'!A46:G724,4,FALSE)*VLOOKUP('Calculos 2'!A56,'Huella Completa'!A46:G724,5,FALSE)*(IF(VLOOKUP('Calculos 2'!A56,'Huella Completa'!A46:G724,3,FALSE)="Tren",Tren,IF(VLOOKUP('Calculos 2'!A56,'Huella Completa'!A46:G724,3,FALSE)="Autobús",Autobús,IF(VLOOKUP('Calculos 2'!A56,'Huella Completa'!A46:G724,3,FALSE)="Avión",Avión,0))))</f>
        <v>#N/A</v>
      </c>
    </row>
    <row r="57" spans="1:26">
      <c r="A57" s="63" t="s">
        <v>471</v>
      </c>
      <c r="B57" s="63" t="e">
        <f>VLOOKUP('Calculos 2'!A57,'Huella Completa'!A47:G725,4,FALSE)*VLOOKUP('Calculos 2'!A57,'Huella Completa'!A47:G725,5,FALSE)*(IF(VLOOKUP('Calculos 2'!A57,'Huella Completa'!A47:G725,3,FALSE)="Tren",Tren,IF(VLOOKUP('Calculos 2'!A57,'Huella Completa'!A47:G725,3,FALSE)="Autobús",Autobús,IF(VLOOKUP('Calculos 2'!A57,'Huella Completa'!A47:G725,3,FALSE)="Avión",Avión,0))))</f>
        <v>#N/A</v>
      </c>
    </row>
    <row r="58" spans="1:26">
      <c r="A58" s="63" t="s">
        <v>472</v>
      </c>
      <c r="B58" s="63" t="e">
        <f>VLOOKUP('Calculos 2'!A58,'Huella Completa'!A48:G726,4,FALSE)*VLOOKUP('Calculos 2'!A58,'Huella Completa'!A48:G726,5,FALSE)*(IF(VLOOKUP('Calculos 2'!A58,'Huella Completa'!A48:G726,3,FALSE)="Tren",Tren,IF(VLOOKUP('Calculos 2'!A58,'Huella Completa'!A48:G726,3,FALSE)="Autobús",Autobús,IF(VLOOKUP('Calculos 2'!A58,'Huella Completa'!A48:G726,3,FALSE)="Avión",Avión,0))))</f>
        <v>#N/A</v>
      </c>
    </row>
    <row r="59" spans="1:26">
      <c r="A59" s="63" t="s">
        <v>473</v>
      </c>
      <c r="B59" s="63" t="e">
        <f>VLOOKUP('Calculos 2'!A59,'Huella Completa'!A49:G727,4,FALSE)*VLOOKUP('Calculos 2'!A59,'Huella Completa'!A49:G727,5,FALSE)*(IF(VLOOKUP('Calculos 2'!A59,'Huella Completa'!A49:G727,3,FALSE)="Tren",Tren,IF(VLOOKUP('Calculos 2'!A59,'Huella Completa'!A49:G727,3,FALSE)="Autobús",Autobús,IF(VLOOKUP('Calculos 2'!A59,'Huella Completa'!A49:G727,3,FALSE)="Avión",Avión,0))))</f>
        <v>#N/A</v>
      </c>
    </row>
    <row r="60" spans="1:26">
      <c r="A60" s="63" t="s">
        <v>474</v>
      </c>
      <c r="B60" s="63" t="e">
        <f>VLOOKUP('Calculos 2'!A60,'Huella Completa'!A50:G728,4,FALSE)*VLOOKUP('Calculos 2'!A60,'Huella Completa'!A50:G728,5,FALSE)*(IF(VLOOKUP('Calculos 2'!A60,'Huella Completa'!A50:G728,3,FALSE)="Tren",Tren,IF(VLOOKUP('Calculos 2'!A60,'Huella Completa'!A50:G728,3,FALSE)="Autobús",Autobús,IF(VLOOKUP('Calculos 2'!A60,'Huella Completa'!A50:G728,3,FALSE)="Avión",Avión,0))))</f>
        <v>#N/A</v>
      </c>
    </row>
    <row r="61" spans="1:26">
      <c r="A61" s="63" t="s">
        <v>475</v>
      </c>
      <c r="B61" s="63" t="e">
        <f>VLOOKUP('Calculos 2'!A61,'Huella Completa'!A51:G729,4,FALSE)*VLOOKUP('Calculos 2'!A61,'Huella Completa'!A51:G729,5,FALSE)*(IF(VLOOKUP('Calculos 2'!A61,'Huella Completa'!A51:G729,3,FALSE)="Tren",Tren,IF(VLOOKUP('Calculos 2'!A61,'Huella Completa'!A51:G729,3,FALSE)="Autobús",Autobús,IF(VLOOKUP('Calculos 2'!A61,'Huella Completa'!A51:G729,3,FALSE)="Avión",Avión,0))))</f>
        <v>#N/A</v>
      </c>
    </row>
    <row r="62" spans="1:26">
      <c r="A62" s="63" t="s">
        <v>476</v>
      </c>
      <c r="B62" s="63" t="e">
        <f>VLOOKUP('Calculos 2'!A62,'Huella Completa'!A52:G730,4,FALSE)*VLOOKUP('Calculos 2'!A62,'Huella Completa'!A52:G730,5,FALSE)*(IF(VLOOKUP('Calculos 2'!A62,'Huella Completa'!A52:G730,3,FALSE)="Tren",Tren,IF(VLOOKUP('Calculos 2'!A62,'Huella Completa'!A52:G730,3,FALSE)="Autobús",Autobús,IF(VLOOKUP('Calculos 2'!A62,'Huella Completa'!A52:G730,3,FALSE)="Avión",Avión,0))))</f>
        <v>#N/A</v>
      </c>
    </row>
    <row r="63" spans="1:26">
      <c r="A63" s="63" t="s">
        <v>477</v>
      </c>
      <c r="B63" s="63" t="e">
        <f>VLOOKUP('Calculos 2'!A63,'Huella Completa'!A53:G731,4,FALSE)*VLOOKUP('Calculos 2'!A63,'Huella Completa'!A53:G731,5,FALSE)*(IF(VLOOKUP('Calculos 2'!A63,'Huella Completa'!A53:G731,3,FALSE)="Tren",Tren,IF(VLOOKUP('Calculos 2'!A63,'Huella Completa'!A53:G731,3,FALSE)="Autobús",Autobús,IF(VLOOKUP('Calculos 2'!A63,'Huella Completa'!A53:G731,3,FALSE)="Avión",Avión,0))))</f>
        <v>#N/A</v>
      </c>
    </row>
    <row r="64" spans="1:26" s="2" customFormat="1">
      <c r="A64" s="97" t="s">
        <v>1031</v>
      </c>
      <c r="B64" s="97"/>
      <c r="C64" s="97" t="e">
        <f ca="1">_xlfn.AGGREGATE(9,6,B34:B63)</f>
        <v>#NAME?</v>
      </c>
      <c r="D64" s="97"/>
      <c r="E64" s="97"/>
      <c r="F64" s="97"/>
      <c r="G64" s="97"/>
      <c r="H64" s="97"/>
      <c r="I64" s="97"/>
      <c r="J64" s="97"/>
      <c r="K64" s="97"/>
      <c r="L64" s="97"/>
      <c r="M64" s="97"/>
      <c r="N64" s="97"/>
      <c r="O64" s="97"/>
      <c r="P64" s="97"/>
      <c r="Q64" s="97"/>
      <c r="R64" s="97"/>
      <c r="S64" s="97"/>
      <c r="T64" s="97"/>
      <c r="U64" s="97"/>
      <c r="V64" s="97"/>
      <c r="W64" s="97"/>
      <c r="X64" s="97"/>
      <c r="Y64" s="97"/>
      <c r="Z64" s="97"/>
    </row>
    <row r="66" spans="1:2">
      <c r="A66" s="63" t="s">
        <v>438</v>
      </c>
      <c r="B66" s="63" t="e">
        <f ca="1">VLOOKUP('Calculos 2'!A66,'Huella Completa'!A16:G702,4,FALSE)*VLOOKUP('Calculos 2'!A66,'Huella Completa'!A16:G702,4,FALSE)*Hotel*(_xlfn.IFS(Elec_hotel1="siempre",0.6,Elec_hotel1="normalmente",0.75,Elec_hotel1="a veces",0.9,Elec_hotel1="nunca",1))</f>
        <v>#NAME?</v>
      </c>
    </row>
    <row r="67" spans="1:2">
      <c r="A67" s="63" t="s">
        <v>439</v>
      </c>
      <c r="B67" s="63" t="e">
        <f ca="1">VLOOKUP('Calculos 2'!A67,'Huella Completa'!A17:G703,4,FALSE)*VLOOKUP('Calculos 2'!A67,'Huella Completa'!A17:G703,4,FALSE)*Hotel*(_xlfn.IFS(Elec_hotel1="siempre",0.6,Elec_hotel1="normalmente",0.75,Elec_hotel1="a veces",0.9,Elec_hotel1="nunca",1))</f>
        <v>#NAME?</v>
      </c>
    </row>
    <row r="68" spans="1:2">
      <c r="A68" s="63" t="s">
        <v>440</v>
      </c>
      <c r="B68" s="63" t="e">
        <f ca="1">VLOOKUP('Calculos 2'!A68,'Huella Completa'!A18:G704,4,FALSE)*VLOOKUP('Calculos 2'!A68,'Huella Completa'!A18:G704,4,FALSE)*Hotel*(_xlfn.IFS(Elec_hotel1="siempre",0.6,Elec_hotel1="normalmente",0.75,Elec_hotel1="a veces",0.9,Elec_hotel1="nunca",1))</f>
        <v>#NAME?</v>
      </c>
    </row>
    <row r="69" spans="1:2">
      <c r="A69" s="63" t="s">
        <v>441</v>
      </c>
      <c r="B69" s="63" t="e">
        <f ca="1">VLOOKUP('Calculos 2'!A69,'Huella Completa'!A19:G705,4,FALSE)*VLOOKUP('Calculos 2'!A69,'Huella Completa'!A19:G705,4,FALSE)*Hotel*(_xlfn.IFS(Elec_hotel1="siempre",0.6,Elec_hotel1="normalmente",0.75,Elec_hotel1="a veces",0.9,Elec_hotel1="nunca",1))</f>
        <v>#NAME?</v>
      </c>
    </row>
    <row r="70" spans="1:2">
      <c r="A70" s="63" t="s">
        <v>442</v>
      </c>
      <c r="B70" s="63" t="e">
        <f ca="1">VLOOKUP('Calculos 2'!A70,'Huella Completa'!A20:G706,4,FALSE)*VLOOKUP('Calculos 2'!A70,'Huella Completa'!A20:G706,4,FALSE)*Hotel*(_xlfn.IFS(Elec_hotel1="siempre",0.6,Elec_hotel1="normalmente",0.75,Elec_hotel1="a veces",0.9,Elec_hotel1="nunca",1))</f>
        <v>#NAME?</v>
      </c>
    </row>
    <row r="71" spans="1:2">
      <c r="A71" s="63" t="s">
        <v>443</v>
      </c>
      <c r="B71" s="63" t="e">
        <f ca="1">VLOOKUP('Calculos 2'!A71,'Huella Completa'!A21:G707,4,FALSE)*VLOOKUP('Calculos 2'!A71,'Huella Completa'!A21:G707,4,FALSE)*Hotel*(_xlfn.IFS(Elec_hotel1="siempre",0.6,Elec_hotel1="normalmente",0.75,Elec_hotel1="a veces",0.9,Elec_hotel1="nunca",1))</f>
        <v>#NAME?</v>
      </c>
    </row>
    <row r="72" spans="1:2">
      <c r="A72" s="63" t="s">
        <v>444</v>
      </c>
      <c r="B72" s="63" t="e">
        <f ca="1">VLOOKUP('Calculos 2'!A72,'Huella Completa'!A23:G708,4,FALSE)*VLOOKUP('Calculos 2'!A72,'Huella Completa'!A23:G708,4,FALSE)*Hotel*(_xlfn.IFS(Elec_hotel1="siempre",0.6,Elec_hotel1="normalmente",0.75,Elec_hotel1="a veces",0.9,Elec_hotel1="nunca",1))</f>
        <v>#NAME?</v>
      </c>
    </row>
    <row r="73" spans="1:2">
      <c r="A73" s="63" t="s">
        <v>445</v>
      </c>
      <c r="B73" s="63" t="e">
        <f ca="1">VLOOKUP('Calculos 2'!A73,'Huella Completa'!A24:G709,4,FALSE)*VLOOKUP('Calculos 2'!A73,'Huella Completa'!A24:G709,4,FALSE)*Hotel*(_xlfn.IFS(Elec_hotel1="siempre",0.6,Elec_hotel1="normalmente",0.75,Elec_hotel1="a veces",0.9,Elec_hotel1="nunca",1))</f>
        <v>#NAME?</v>
      </c>
    </row>
    <row r="74" spans="1:2">
      <c r="A74" s="63" t="s">
        <v>446</v>
      </c>
      <c r="B74" s="63" t="e">
        <f ca="1">VLOOKUP('Calculos 2'!A74,'Huella Completa'!A25:G710,4,FALSE)*VLOOKUP('Calculos 2'!A74,'Huella Completa'!A25:G710,4,FALSE)*Hotel*(_xlfn.IFS(Elec_hotel1="siempre",0.6,Elec_hotel1="normalmente",0.75,Elec_hotel1="a veces",0.9,Elec_hotel1="nunca",1))</f>
        <v>#NAME?</v>
      </c>
    </row>
    <row r="75" spans="1:2">
      <c r="A75" s="63" t="s">
        <v>447</v>
      </c>
      <c r="B75" s="63" t="e">
        <f ca="1">VLOOKUP('Calculos 2'!A75,'Huella Completa'!A26:G711,4,FALSE)*VLOOKUP('Calculos 2'!A75,'Huella Completa'!A26:G711,4,FALSE)*Hotel*(_xlfn.IFS(Elec_hotel1="siempre",0.6,Elec_hotel1="normalmente",0.75,Elec_hotel1="a veces",0.9,Elec_hotel1="nunca",1))</f>
        <v>#NAME?</v>
      </c>
    </row>
    <row r="76" spans="1:2">
      <c r="A76" s="63" t="s">
        <v>482</v>
      </c>
      <c r="B76" s="63" t="e">
        <f ca="1">VLOOKUP('Calculos 2'!A76,'Huella Completa'!A34:G712,4,FALSE)*VLOOKUP('Calculos 2'!A76,'Huella Completa'!A34:G712,4,FALSE)*Hotel*(_xlfn.IFS(Elec_hotel1="siempre",0.6,Elec_hotel1="normalmente",0.75,Elec_hotel1="a veces",0.9,Elec_hotel1="nunca",1))</f>
        <v>#N/A</v>
      </c>
    </row>
    <row r="77" spans="1:2">
      <c r="A77" s="63" t="s">
        <v>483</v>
      </c>
      <c r="B77" s="63" t="e">
        <f ca="1">VLOOKUP('Calculos 2'!A77,'Huella Completa'!A35:G713,4,FALSE)*VLOOKUP('Calculos 2'!A77,'Huella Completa'!A35:G713,4,FALSE)*Hotel*(_xlfn.IFS(Elec_hotel1="siempre",0.6,Elec_hotel1="normalmente",0.75,Elec_hotel1="a veces",0.9,Elec_hotel1="nunca",1))</f>
        <v>#N/A</v>
      </c>
    </row>
    <row r="78" spans="1:2">
      <c r="A78" s="63" t="s">
        <v>484</v>
      </c>
      <c r="B78" s="63" t="e">
        <f ca="1">VLOOKUP('Calculos 2'!A78,'Huella Completa'!A36:G714,4,FALSE)*VLOOKUP('Calculos 2'!A78,'Huella Completa'!A36:G714,4,FALSE)*Hotel*(_xlfn.IFS(Elec_hotel1="siempre",0.6,Elec_hotel1="normalmente",0.75,Elec_hotel1="a veces",0.9,Elec_hotel1="nunca",1))</f>
        <v>#N/A</v>
      </c>
    </row>
    <row r="79" spans="1:2">
      <c r="A79" s="63" t="s">
        <v>485</v>
      </c>
      <c r="B79" s="63" t="e">
        <f ca="1">VLOOKUP('Calculos 2'!A79,'Huella Completa'!A37:G715,4,FALSE)*VLOOKUP('Calculos 2'!A79,'Huella Completa'!A37:G715,4,FALSE)*Hotel*(_xlfn.IFS(Elec_hotel1="siempre",0.6,Elec_hotel1="normalmente",0.75,Elec_hotel1="a veces",0.9,Elec_hotel1="nunca",1))</f>
        <v>#N/A</v>
      </c>
    </row>
    <row r="80" spans="1:2">
      <c r="A80" s="63" t="s">
        <v>486</v>
      </c>
      <c r="B80" s="63" t="e">
        <f ca="1">VLOOKUP('Calculos 2'!A80,'Huella Completa'!A38:G716,4,FALSE)*VLOOKUP('Calculos 2'!A80,'Huella Completa'!A38:G716,4,FALSE)*Hotel*(_xlfn.IFS(Elec_hotel1="siempre",0.6,Elec_hotel1="normalmente",0.75,Elec_hotel1="a veces",0.9,Elec_hotel1="nunca",1))</f>
        <v>#N/A</v>
      </c>
    </row>
    <row r="81" spans="1:26">
      <c r="A81" s="63" t="s">
        <v>487</v>
      </c>
      <c r="B81" s="63" t="e">
        <f ca="1">VLOOKUP('Calculos 2'!A81,'Huella Completa'!A39:G717,4,FALSE)*VLOOKUP('Calculos 2'!A81,'Huella Completa'!A39:G717,4,FALSE)*Hotel*(_xlfn.IFS(Elec_hotel1="siempre",0.6,Elec_hotel1="normalmente",0.75,Elec_hotel1="a veces",0.9,Elec_hotel1="nunca",1))</f>
        <v>#N/A</v>
      </c>
    </row>
    <row r="82" spans="1:26">
      <c r="A82" s="63" t="s">
        <v>488</v>
      </c>
      <c r="B82" s="63" t="e">
        <f ca="1">VLOOKUP('Calculos 2'!A82,'Huella Completa'!A40:G718,4,FALSE)*VLOOKUP('Calculos 2'!A82,'Huella Completa'!A40:G718,4,FALSE)*Hotel*(_xlfn.IFS(Elec_hotel1="siempre",0.6,Elec_hotel1="normalmente",0.75,Elec_hotel1="a veces",0.9,Elec_hotel1="nunca",1))</f>
        <v>#N/A</v>
      </c>
    </row>
    <row r="83" spans="1:26">
      <c r="A83" s="63" t="s">
        <v>489</v>
      </c>
      <c r="B83" s="63" t="e">
        <f ca="1">VLOOKUP('Calculos 2'!A83,'Huella Completa'!A41:G719,4,FALSE)*VLOOKUP('Calculos 2'!A83,'Huella Completa'!A41:G719,4,FALSE)*Hotel*(_xlfn.IFS(Elec_hotel1="siempre",0.6,Elec_hotel1="normalmente",0.75,Elec_hotel1="a veces",0.9,Elec_hotel1="nunca",1))</f>
        <v>#N/A</v>
      </c>
    </row>
    <row r="84" spans="1:26">
      <c r="A84" s="63" t="s">
        <v>490</v>
      </c>
      <c r="B84" s="63" t="e">
        <f ca="1">VLOOKUP('Calculos 2'!A84,'Huella Completa'!A42:G720,4,FALSE)*VLOOKUP('Calculos 2'!A84,'Huella Completa'!A42:G720,4,FALSE)*Hotel*(_xlfn.IFS(Elec_hotel1="siempre",0.6,Elec_hotel1="normalmente",0.75,Elec_hotel1="a veces",0.9,Elec_hotel1="nunca",1))</f>
        <v>#N/A</v>
      </c>
    </row>
    <row r="85" spans="1:26">
      <c r="A85" s="63" t="s">
        <v>491</v>
      </c>
      <c r="B85" s="63" t="e">
        <f ca="1">VLOOKUP('Calculos 2'!A85,'Huella Completa'!A43:G721,4,FALSE)*VLOOKUP('Calculos 2'!A85,'Huella Completa'!A43:G721,4,FALSE)*Hotel*(_xlfn.IFS(Elec_hotel1="siempre",0.6,Elec_hotel1="normalmente",0.75,Elec_hotel1="a veces",0.9,Elec_hotel1="nunca",1))</f>
        <v>#N/A</v>
      </c>
    </row>
    <row r="86" spans="1:26">
      <c r="A86" s="63" t="s">
        <v>492</v>
      </c>
      <c r="B86" s="63" t="e">
        <f ca="1">VLOOKUP('Calculos 2'!A86,'Huella Completa'!A44:G722,4,FALSE)*VLOOKUP('Calculos 2'!A86,'Huella Completa'!A44:G722,4,FALSE)*Hotel*(_xlfn.IFS(Elec_hotel1="siempre",0.6,Elec_hotel1="normalmente",0.75,Elec_hotel1="a veces",0.9,Elec_hotel1="nunca",1))</f>
        <v>#N/A</v>
      </c>
    </row>
    <row r="87" spans="1:26">
      <c r="A87" s="63" t="s">
        <v>493</v>
      </c>
      <c r="B87" s="63" t="e">
        <f ca="1">VLOOKUP('Calculos 2'!A87,'Huella Completa'!A45:G723,4,FALSE)*VLOOKUP('Calculos 2'!A87,'Huella Completa'!A45:G723,4,FALSE)*Hotel*(_xlfn.IFS(Elec_hotel1="siempre",0.6,Elec_hotel1="normalmente",0.75,Elec_hotel1="a veces",0.9,Elec_hotel1="nunca",1))</f>
        <v>#N/A</v>
      </c>
    </row>
    <row r="88" spans="1:26">
      <c r="A88" s="63" t="s">
        <v>494</v>
      </c>
      <c r="B88" s="63" t="e">
        <f ca="1">VLOOKUP('Calculos 2'!A88,'Huella Completa'!A46:G724,4,FALSE)*VLOOKUP('Calculos 2'!A88,'Huella Completa'!A46:G724,4,FALSE)*Hotel*(_xlfn.IFS(Elec_hotel1="siempre",0.6,Elec_hotel1="normalmente",0.75,Elec_hotel1="a veces",0.9,Elec_hotel1="nunca",1))</f>
        <v>#N/A</v>
      </c>
    </row>
    <row r="89" spans="1:26">
      <c r="A89" s="63" t="s">
        <v>495</v>
      </c>
      <c r="B89" s="63" t="e">
        <f ca="1">VLOOKUP('Calculos 2'!A89,'Huella Completa'!A47:G725,4,FALSE)*VLOOKUP('Calculos 2'!A89,'Huella Completa'!A47:G725,4,FALSE)*Hotel*(_xlfn.IFS(Elec_hotel1="siempre",0.6,Elec_hotel1="normalmente",0.75,Elec_hotel1="a veces",0.9,Elec_hotel1="nunca",1))</f>
        <v>#N/A</v>
      </c>
    </row>
    <row r="90" spans="1:26">
      <c r="A90" s="63" t="s">
        <v>496</v>
      </c>
      <c r="B90" s="63" t="e">
        <f ca="1">VLOOKUP('Calculos 2'!A90,'Huella Completa'!A48:G726,4,FALSE)*VLOOKUP('Calculos 2'!A90,'Huella Completa'!A48:G726,4,FALSE)*Hotel*(_xlfn.IFS(Elec_hotel1="siempre",0.6,Elec_hotel1="normalmente",0.75,Elec_hotel1="a veces",0.9,Elec_hotel1="nunca",1))</f>
        <v>#N/A</v>
      </c>
    </row>
    <row r="91" spans="1:26">
      <c r="A91" s="63" t="s">
        <v>497</v>
      </c>
      <c r="B91" s="63" t="e">
        <f ca="1">VLOOKUP('Calculos 2'!A91,'Huella Completa'!A49:G727,4,FALSE)*VLOOKUP('Calculos 2'!A91,'Huella Completa'!A49:G727,4,FALSE)*Hotel*(_xlfn.IFS(Elec_hotel1="siempre",0.6,Elec_hotel1="normalmente",0.75,Elec_hotel1="a veces",0.9,Elec_hotel1="nunca",1))</f>
        <v>#N/A</v>
      </c>
    </row>
    <row r="92" spans="1:26">
      <c r="A92" s="63" t="s">
        <v>498</v>
      </c>
      <c r="B92" s="63" t="e">
        <f ca="1">VLOOKUP('Calculos 2'!A92,'Huella Completa'!A50:G728,4,FALSE)*VLOOKUP('Calculos 2'!A92,'Huella Completa'!A50:G728,4,FALSE)*Hotel*(_xlfn.IFS(Elec_hotel1="siempre",0.6,Elec_hotel1="normalmente",0.75,Elec_hotel1="a veces",0.9,Elec_hotel1="nunca",1))</f>
        <v>#N/A</v>
      </c>
    </row>
    <row r="93" spans="1:26">
      <c r="A93" s="63" t="s">
        <v>499</v>
      </c>
      <c r="B93" s="63" t="e">
        <f ca="1">VLOOKUP('Calculos 2'!A93,'Huella Completa'!A51:G729,4,FALSE)*VLOOKUP('Calculos 2'!A93,'Huella Completa'!A51:G729,4,FALSE)*Hotel*(_xlfn.IFS(Elec_hotel1="siempre",0.6,Elec_hotel1="normalmente",0.75,Elec_hotel1="a veces",0.9,Elec_hotel1="nunca",1))</f>
        <v>#N/A</v>
      </c>
    </row>
    <row r="94" spans="1:26">
      <c r="A94" s="63" t="s">
        <v>500</v>
      </c>
      <c r="B94" s="63" t="e">
        <f ca="1">VLOOKUP('Calculos 2'!A94,'Huella Completa'!A52:G730,4,FALSE)*VLOOKUP('Calculos 2'!A94,'Huella Completa'!A52:G730,4,FALSE)*Hotel*(_xlfn.IFS(Elec_hotel1="siempre",0.6,Elec_hotel1="normalmente",0.75,Elec_hotel1="a veces",0.9,Elec_hotel1="nunca",1))</f>
        <v>#N/A</v>
      </c>
    </row>
    <row r="95" spans="1:26">
      <c r="A95" s="63" t="s">
        <v>501</v>
      </c>
      <c r="B95" s="63" t="e">
        <f ca="1">VLOOKUP('Calculos 2'!A95,'Huella Completa'!A53:G731,4,FALSE)*VLOOKUP('Calculos 2'!A95,'Huella Completa'!A53:G731,4,FALSE)*Hotel*(_xlfn.IFS(Elec_hotel1="siempre",0.6,Elec_hotel1="normalmente",0.75,Elec_hotel1="a veces",0.9,Elec_hotel1="nunca",1))</f>
        <v>#N/A</v>
      </c>
    </row>
    <row r="96" spans="1:26" s="2" customFormat="1">
      <c r="A96" s="97" t="s">
        <v>1062</v>
      </c>
      <c r="B96" s="97"/>
      <c r="C96" s="97" t="e">
        <f ca="1">_xlfn.AGGREGATE(9,6,B66:B95)</f>
        <v>#NAME?</v>
      </c>
      <c r="D96" s="97"/>
      <c r="E96" s="97"/>
      <c r="F96" s="97"/>
      <c r="G96" s="97"/>
      <c r="H96" s="97"/>
      <c r="I96" s="97"/>
      <c r="J96" s="97"/>
      <c r="K96" s="97"/>
      <c r="L96" s="97"/>
      <c r="M96" s="97"/>
      <c r="N96" s="97"/>
      <c r="O96" s="97"/>
      <c r="P96" s="97"/>
      <c r="Q96" s="97"/>
      <c r="R96" s="97"/>
      <c r="S96" s="97"/>
      <c r="T96" s="97"/>
      <c r="U96" s="97"/>
      <c r="V96" s="97"/>
      <c r="W96" s="97"/>
      <c r="X96" s="97"/>
      <c r="Y96" s="97"/>
      <c r="Z96" s="97"/>
    </row>
    <row r="98" spans="1:2">
      <c r="A98" s="63" t="s">
        <v>448</v>
      </c>
      <c r="B98" s="63">
        <f>VLOOKUP('Calculos 2'!A98,'Huella Completa'!A16:G702,3,FALSE)*(IF(VLOOKUP('Calculos 2'!A98,'Huella Completa'!A16:G702,4,FALSE)="Gasolina",Gasolina,IF(VLOOKUP('Calculos 2'!A98,'Huella Completa'!A16:G702,4,FALSE)="Diesel",Diesel,IF(VLOOKUP('Calculos 2'!A98,'Huella Completa'!A16:G702,4,FALSE)="GLP",GLP,0))))</f>
        <v>0</v>
      </c>
    </row>
    <row r="99" spans="1:2">
      <c r="A99" s="63" t="s">
        <v>449</v>
      </c>
      <c r="B99" s="63">
        <f>VLOOKUP('Calculos 2'!A99,'Huella Completa'!A17:G703,3,FALSE)*(IF(VLOOKUP('Calculos 2'!A99,'Huella Completa'!A17:G703,4,FALSE)="Gasolina",Gasolina,IF(VLOOKUP('Calculos 2'!A99,'Huella Completa'!A17:G703,4,FALSE)="Diesel",Diesel,IF(VLOOKUP('Calculos 2'!A99,'Huella Completa'!A17:G703,4,FALSE)="GLP",GLP,0))))</f>
        <v>0</v>
      </c>
    </row>
    <row r="100" spans="1:2">
      <c r="A100" s="63" t="s">
        <v>450</v>
      </c>
      <c r="B100" s="63">
        <f>VLOOKUP('Calculos 2'!A100,'Huella Completa'!A18:G704,3,FALSE)*(IF(VLOOKUP('Calculos 2'!A100,'Huella Completa'!A18:G704,4,FALSE)="Gasolina",Gasolina,IF(VLOOKUP('Calculos 2'!A100,'Huella Completa'!A18:G704,4,FALSE)="Diesel",Diesel,IF(VLOOKUP('Calculos 2'!A100,'Huella Completa'!A18:G704,4,FALSE)="GLP",GLP,0))))</f>
        <v>0</v>
      </c>
    </row>
    <row r="101" spans="1:2">
      <c r="A101" s="63" t="s">
        <v>502</v>
      </c>
      <c r="B101" s="63">
        <f>VLOOKUP('Calculos 2'!A101,'Huella Completa'!A19:G705,3,FALSE)*(IF(VLOOKUP('Calculos 2'!A101,'Huella Completa'!A19:G705,4,FALSE)="Gasolina",Gasolina,IF(VLOOKUP('Calculos 2'!A101,'Huella Completa'!A19:G705,4,FALSE)="Diesel",Diesel,IF(VLOOKUP('Calculos 2'!A101,'Huella Completa'!A19:G705,4,FALSE)="GLP",GLP,0))))</f>
        <v>0</v>
      </c>
    </row>
    <row r="102" spans="1:2">
      <c r="A102" s="63" t="s">
        <v>503</v>
      </c>
      <c r="B102" s="63">
        <f>VLOOKUP('Calculos 2'!A102,'Huella Completa'!A20:G706,3,FALSE)*(IF(VLOOKUP('Calculos 2'!A102,'Huella Completa'!A20:G706,4,FALSE)="Gasolina",Gasolina,IF(VLOOKUP('Calculos 2'!A102,'Huella Completa'!A20:G706,4,FALSE)="Diesel",Diesel,IF(VLOOKUP('Calculos 2'!A102,'Huella Completa'!A20:G706,4,FALSE)="GLP",GLP,0))))</f>
        <v>0</v>
      </c>
    </row>
    <row r="103" spans="1:2">
      <c r="A103" s="63" t="s">
        <v>504</v>
      </c>
      <c r="B103" s="63">
        <f>VLOOKUP('Calculos 2'!A103,'Huella Completa'!A21:G707,3,FALSE)*(IF(VLOOKUP('Calculos 2'!A103,'Huella Completa'!A21:G707,4,FALSE)="Gasolina",Gasolina,IF(VLOOKUP('Calculos 2'!A103,'Huella Completa'!A21:G707,4,FALSE)="Diesel",Diesel,IF(VLOOKUP('Calculos 2'!A103,'Huella Completa'!A21:G707,4,FALSE)="GLP",GLP,0))))</f>
        <v>0</v>
      </c>
    </row>
    <row r="104" spans="1:2">
      <c r="A104" s="63" t="s">
        <v>505</v>
      </c>
      <c r="B104" s="63">
        <f>VLOOKUP('Calculos 2'!A104,'Huella Completa'!A23:G708,3,FALSE)*(IF(VLOOKUP('Calculos 2'!A104,'Huella Completa'!A23:G708,4,FALSE)="Gasolina",Gasolina,IF(VLOOKUP('Calculos 2'!A104,'Huella Completa'!A23:G708,4,FALSE)="Diesel",Diesel,IF(VLOOKUP('Calculos 2'!A104,'Huella Completa'!A23:G708,4,FALSE)="GLP",GLP,0))))</f>
        <v>0</v>
      </c>
    </row>
    <row r="105" spans="1:2">
      <c r="A105" s="63" t="s">
        <v>506</v>
      </c>
      <c r="B105" s="63">
        <f>VLOOKUP('Calculos 2'!A105,'Huella Completa'!A24:G709,3,FALSE)*(IF(VLOOKUP('Calculos 2'!A105,'Huella Completa'!A24:G709,4,FALSE)="Gasolina",Gasolina,IF(VLOOKUP('Calculos 2'!A105,'Huella Completa'!A24:G709,4,FALSE)="Diesel",Diesel,IF(VLOOKUP('Calculos 2'!A105,'Huella Completa'!A24:G709,4,FALSE)="GLP",GLP,0))))</f>
        <v>0</v>
      </c>
    </row>
    <row r="106" spans="1:2">
      <c r="A106" s="63" t="s">
        <v>507</v>
      </c>
      <c r="B106" s="63">
        <f>VLOOKUP('Calculos 2'!A106,'Huella Completa'!A25:G710,3,FALSE)*(IF(VLOOKUP('Calculos 2'!A106,'Huella Completa'!A25:G710,4,FALSE)="Gasolina",Gasolina,IF(VLOOKUP('Calculos 2'!A106,'Huella Completa'!A25:G710,4,FALSE)="Diesel",Diesel,IF(VLOOKUP('Calculos 2'!A106,'Huella Completa'!A25:G710,4,FALSE)="GLP",GLP,0))))</f>
        <v>0</v>
      </c>
    </row>
    <row r="107" spans="1:2">
      <c r="A107" s="63" t="s">
        <v>508</v>
      </c>
      <c r="B107" s="63">
        <f>VLOOKUP('Calculos 2'!A107,'Huella Completa'!A26:G711,3,FALSE)*(IF(VLOOKUP('Calculos 2'!A107,'Huella Completa'!A26:G711,4,FALSE)="Gasolina",Gasolina,IF(VLOOKUP('Calculos 2'!A107,'Huella Completa'!A26:G711,4,FALSE)="Diesel",Diesel,IF(VLOOKUP('Calculos 2'!A107,'Huella Completa'!A26:G711,4,FALSE)="GLP",GLP,0))))</f>
        <v>0</v>
      </c>
    </row>
    <row r="108" spans="1:2">
      <c r="A108" s="63" t="s">
        <v>509</v>
      </c>
      <c r="B108" s="63" t="e">
        <f>VLOOKUP('Calculos 2'!A108,'Huella Completa'!A34:G712,3,FALSE)*(IF(VLOOKUP('Calculos 2'!A108,'Huella Completa'!A34:G712,4,FALSE)="Gasolina",Gasolina,IF(VLOOKUP('Calculos 2'!A108,'Huella Completa'!A34:G712,4,FALSE)="Diesel",Diesel,IF(VLOOKUP('Calculos 2'!A108,'Huella Completa'!A34:G712,4,FALSE)="GLP",GLP,0))))</f>
        <v>#N/A</v>
      </c>
    </row>
    <row r="109" spans="1:2">
      <c r="A109" s="63" t="s">
        <v>510</v>
      </c>
      <c r="B109" s="63" t="e">
        <f>VLOOKUP('Calculos 2'!A109,'Huella Completa'!A35:G713,3,FALSE)*(IF(VLOOKUP('Calculos 2'!A109,'Huella Completa'!A35:G713,4,FALSE)="Gasolina",Gasolina,IF(VLOOKUP('Calculos 2'!A109,'Huella Completa'!A35:G713,4,FALSE)="Diesel",Diesel,IF(VLOOKUP('Calculos 2'!A109,'Huella Completa'!A35:G713,4,FALSE)="GLP",GLP,0))))</f>
        <v>#N/A</v>
      </c>
    </row>
    <row r="110" spans="1:2">
      <c r="A110" s="63" t="s">
        <v>511</v>
      </c>
      <c r="B110" s="63" t="e">
        <f>VLOOKUP('Calculos 2'!A110,'Huella Completa'!A36:G714,3,FALSE)*(IF(VLOOKUP('Calculos 2'!A110,'Huella Completa'!A36:G714,4,FALSE)="Gasolina",Gasolina,IF(VLOOKUP('Calculos 2'!A110,'Huella Completa'!A36:G714,4,FALSE)="Diesel",Diesel,IF(VLOOKUP('Calculos 2'!A110,'Huella Completa'!A36:G714,4,FALSE)="GLP",GLP,0))))</f>
        <v>#N/A</v>
      </c>
    </row>
    <row r="111" spans="1:2">
      <c r="A111" s="63" t="s">
        <v>512</v>
      </c>
      <c r="B111" s="63" t="e">
        <f>VLOOKUP('Calculos 2'!A111,'Huella Completa'!A37:G715,3,FALSE)*(IF(VLOOKUP('Calculos 2'!A111,'Huella Completa'!A37:G715,4,FALSE)="Gasolina",Gasolina,IF(VLOOKUP('Calculos 2'!A111,'Huella Completa'!A37:G715,4,FALSE)="Diesel",Diesel,IF(VLOOKUP('Calculos 2'!A111,'Huella Completa'!A37:G715,4,FALSE)="GLP",GLP,0))))</f>
        <v>#N/A</v>
      </c>
    </row>
    <row r="112" spans="1:2">
      <c r="A112" s="63" t="s">
        <v>513</v>
      </c>
      <c r="B112" s="63" t="e">
        <f>VLOOKUP('Calculos 2'!A112,'Huella Completa'!A38:G716,3,FALSE)*(IF(VLOOKUP('Calculos 2'!A112,'Huella Completa'!A38:G716,4,FALSE)="Gasolina",Gasolina,IF(VLOOKUP('Calculos 2'!A112,'Huella Completa'!A38:G716,4,FALSE)="Diesel",Diesel,IF(VLOOKUP('Calculos 2'!A112,'Huella Completa'!A38:G716,4,FALSE)="GLP",GLP,0))))</f>
        <v>#N/A</v>
      </c>
    </row>
    <row r="113" spans="1:26">
      <c r="A113" s="63" t="s">
        <v>514</v>
      </c>
      <c r="B113" s="63" t="e">
        <f>VLOOKUP('Calculos 2'!A113,'Huella Completa'!A39:G717,3,FALSE)*(IF(VLOOKUP('Calculos 2'!A113,'Huella Completa'!A39:G717,4,FALSE)="Gasolina",Gasolina,IF(VLOOKUP('Calculos 2'!A113,'Huella Completa'!A39:G717,4,FALSE)="Diesel",Diesel,IF(VLOOKUP('Calculos 2'!A113,'Huella Completa'!A39:G717,4,FALSE)="GLP",GLP,0))))</f>
        <v>#N/A</v>
      </c>
    </row>
    <row r="114" spans="1:26">
      <c r="A114" s="63" t="s">
        <v>515</v>
      </c>
      <c r="B114" s="63" t="e">
        <f>VLOOKUP('Calculos 2'!A114,'Huella Completa'!A40:G718,3,FALSE)*(IF(VLOOKUP('Calculos 2'!A114,'Huella Completa'!A40:G718,4,FALSE)="Gasolina",Gasolina,IF(VLOOKUP('Calculos 2'!A114,'Huella Completa'!A40:G718,4,FALSE)="Diesel",Diesel,IF(VLOOKUP('Calculos 2'!A114,'Huella Completa'!A40:G718,4,FALSE)="GLP",GLP,0))))</f>
        <v>#N/A</v>
      </c>
    </row>
    <row r="115" spans="1:26">
      <c r="A115" s="63" t="s">
        <v>516</v>
      </c>
      <c r="B115" s="63" t="e">
        <f>VLOOKUP('Calculos 2'!A115,'Huella Completa'!A41:G719,3,FALSE)*(IF(VLOOKUP('Calculos 2'!A115,'Huella Completa'!A41:G719,4,FALSE)="Gasolina",Gasolina,IF(VLOOKUP('Calculos 2'!A115,'Huella Completa'!A41:G719,4,FALSE)="Diesel",Diesel,IF(VLOOKUP('Calculos 2'!A115,'Huella Completa'!A41:G719,4,FALSE)="GLP",GLP,0))))</f>
        <v>#N/A</v>
      </c>
    </row>
    <row r="116" spans="1:26">
      <c r="A116" s="63" t="s">
        <v>517</v>
      </c>
      <c r="B116" s="63" t="e">
        <f>VLOOKUP('Calculos 2'!A116,'Huella Completa'!A42:G720,3,FALSE)*(IF(VLOOKUP('Calculos 2'!A116,'Huella Completa'!A42:G720,4,FALSE)="Gasolina",Gasolina,IF(VLOOKUP('Calculos 2'!A116,'Huella Completa'!A42:G720,4,FALSE)="Diesel",Diesel,IF(VLOOKUP('Calculos 2'!A116,'Huella Completa'!A42:G720,4,FALSE)="GLP",GLP,0))))</f>
        <v>#N/A</v>
      </c>
    </row>
    <row r="117" spans="1:26">
      <c r="A117" s="63" t="s">
        <v>518</v>
      </c>
      <c r="B117" s="63" t="e">
        <f>VLOOKUP('Calculos 2'!A117,'Huella Completa'!A43:G721,3,FALSE)*(IF(VLOOKUP('Calculos 2'!A117,'Huella Completa'!A43:G721,4,FALSE)="Gasolina",Gasolina,IF(VLOOKUP('Calculos 2'!A117,'Huella Completa'!A43:G721,4,FALSE)="Diesel",Diesel,IF(VLOOKUP('Calculos 2'!A117,'Huella Completa'!A43:G721,4,FALSE)="GLP",GLP,0))))</f>
        <v>#N/A</v>
      </c>
    </row>
    <row r="118" spans="1:26">
      <c r="A118" s="63" t="s">
        <v>519</v>
      </c>
      <c r="B118" s="63" t="e">
        <f>VLOOKUP('Calculos 2'!A118,'Huella Completa'!A44:G722,3,FALSE)*(IF(VLOOKUP('Calculos 2'!A118,'Huella Completa'!A44:G722,4,FALSE)="Gasolina",Gasolina,IF(VLOOKUP('Calculos 2'!A118,'Huella Completa'!A44:G722,4,FALSE)="Diesel",Diesel,IF(VLOOKUP('Calculos 2'!A118,'Huella Completa'!A44:G722,4,FALSE)="GLP",GLP,0))))</f>
        <v>#N/A</v>
      </c>
    </row>
    <row r="119" spans="1:26">
      <c r="A119" s="63" t="s">
        <v>520</v>
      </c>
      <c r="B119" s="63" t="e">
        <f>VLOOKUP('Calculos 2'!A119,'Huella Completa'!A45:G723,3,FALSE)*(IF(VLOOKUP('Calculos 2'!A119,'Huella Completa'!A45:G723,4,FALSE)="Gasolina",Gasolina,IF(VLOOKUP('Calculos 2'!A119,'Huella Completa'!A45:G723,4,FALSE)="Diesel",Diesel,IF(VLOOKUP('Calculos 2'!A119,'Huella Completa'!A45:G723,4,FALSE)="GLP",GLP,0))))</f>
        <v>#N/A</v>
      </c>
    </row>
    <row r="120" spans="1:26">
      <c r="A120" s="63" t="s">
        <v>521</v>
      </c>
      <c r="B120" s="63" t="e">
        <f>VLOOKUP('Calculos 2'!A120,'Huella Completa'!A46:G724,3,FALSE)*(IF(VLOOKUP('Calculos 2'!A120,'Huella Completa'!A46:G724,4,FALSE)="Gasolina",Gasolina,IF(VLOOKUP('Calculos 2'!A120,'Huella Completa'!A46:G724,4,FALSE)="Diesel",Diesel,IF(VLOOKUP('Calculos 2'!A120,'Huella Completa'!A46:G724,4,FALSE)="GLP",GLP,0))))</f>
        <v>#N/A</v>
      </c>
    </row>
    <row r="121" spans="1:26">
      <c r="A121" s="63" t="s">
        <v>522</v>
      </c>
      <c r="B121" s="63" t="e">
        <f>VLOOKUP('Calculos 2'!A121,'Huella Completa'!A47:G725,3,FALSE)*(IF(VLOOKUP('Calculos 2'!A121,'Huella Completa'!A47:G725,4,FALSE)="Gasolina",Gasolina,IF(VLOOKUP('Calculos 2'!A121,'Huella Completa'!A47:G725,4,FALSE)="Diesel",Diesel,IF(VLOOKUP('Calculos 2'!A121,'Huella Completa'!A47:G725,4,FALSE)="GLP",GLP,0))))</f>
        <v>#N/A</v>
      </c>
    </row>
    <row r="122" spans="1:26">
      <c r="A122" s="63" t="s">
        <v>523</v>
      </c>
      <c r="B122" s="63" t="e">
        <f>VLOOKUP('Calculos 2'!A122,'Huella Completa'!A48:G726,3,FALSE)*(IF(VLOOKUP('Calculos 2'!A122,'Huella Completa'!A48:G726,4,FALSE)="Gasolina",Gasolina,IF(VLOOKUP('Calculos 2'!A122,'Huella Completa'!A48:G726,4,FALSE)="Diesel",Diesel,IF(VLOOKUP('Calculos 2'!A122,'Huella Completa'!A48:G726,4,FALSE)="GLP",GLP,0))))</f>
        <v>#N/A</v>
      </c>
    </row>
    <row r="123" spans="1:26">
      <c r="A123" s="63" t="s">
        <v>524</v>
      </c>
      <c r="B123" s="63" t="e">
        <f>VLOOKUP('Calculos 2'!A123,'Huella Completa'!A49:G727,3,FALSE)*(IF(VLOOKUP('Calculos 2'!A123,'Huella Completa'!A49:G727,4,FALSE)="Gasolina",Gasolina,IF(VLOOKUP('Calculos 2'!A123,'Huella Completa'!A49:G727,4,FALSE)="Diesel",Diesel,IF(VLOOKUP('Calculos 2'!A123,'Huella Completa'!A49:G727,4,FALSE)="GLP",GLP,0))))</f>
        <v>#N/A</v>
      </c>
    </row>
    <row r="124" spans="1:26">
      <c r="A124" s="63" t="s">
        <v>525</v>
      </c>
      <c r="B124" s="63" t="e">
        <f>VLOOKUP('Calculos 2'!A124,'Huella Completa'!A50:G728,3,FALSE)*(IF(VLOOKUP('Calculos 2'!A124,'Huella Completa'!A50:G728,4,FALSE)="Gasolina",Gasolina,IF(VLOOKUP('Calculos 2'!A124,'Huella Completa'!A50:G728,4,FALSE)="Diesel",Diesel,IF(VLOOKUP('Calculos 2'!A124,'Huella Completa'!A50:G728,4,FALSE)="GLP",GLP,0))))</f>
        <v>#N/A</v>
      </c>
    </row>
    <row r="125" spans="1:26">
      <c r="A125" s="63" t="s">
        <v>526</v>
      </c>
      <c r="B125" s="63" t="e">
        <f>VLOOKUP('Calculos 2'!A125,'Huella Completa'!A51:G729,3,FALSE)*(IF(VLOOKUP('Calculos 2'!A125,'Huella Completa'!A51:G729,4,FALSE)="Gasolina",Gasolina,IF(VLOOKUP('Calculos 2'!A125,'Huella Completa'!A51:G729,4,FALSE)="Diesel",Diesel,IF(VLOOKUP('Calculos 2'!A125,'Huella Completa'!A51:G729,4,FALSE)="GLP",GLP,0))))</f>
        <v>#N/A</v>
      </c>
    </row>
    <row r="126" spans="1:26">
      <c r="A126" s="63" t="s">
        <v>527</v>
      </c>
      <c r="B126" s="63" t="e">
        <f>VLOOKUP('Calculos 2'!A126,'Huella Completa'!A52:G730,3,FALSE)*(IF(VLOOKUP('Calculos 2'!A126,'Huella Completa'!A52:G730,4,FALSE)="Gasolina",Gasolina,IF(VLOOKUP('Calculos 2'!A126,'Huella Completa'!A52:G730,4,FALSE)="Diesel",Diesel,IF(VLOOKUP('Calculos 2'!A126,'Huella Completa'!A52:G730,4,FALSE)="GLP",GLP,0))))</f>
        <v>#N/A</v>
      </c>
    </row>
    <row r="127" spans="1:26">
      <c r="A127" s="63" t="s">
        <v>528</v>
      </c>
      <c r="B127" s="63" t="e">
        <f>VLOOKUP('Calculos 2'!A127,'Huella Completa'!A53:G731,3,FALSE)*(IF(VLOOKUP('Calculos 2'!A127,'Huella Completa'!A53:G731,4,FALSE)="Gasolina",Gasolina,IF(VLOOKUP('Calculos 2'!A127,'Huella Completa'!A53:G731,4,FALSE)="Diesel",Diesel,IF(VLOOKUP('Calculos 2'!A127,'Huella Completa'!A53:G731,4,FALSE)="GLP",GLP,0))))</f>
        <v>#N/A</v>
      </c>
    </row>
    <row r="128" spans="1:26" s="2" customFormat="1">
      <c r="A128" s="97" t="s">
        <v>1032</v>
      </c>
      <c r="B128" s="97"/>
      <c r="C128" s="97" t="e">
        <f ca="1">_xlfn.AGGREGATE(9,6,B98:B127)</f>
        <v>#NAME?</v>
      </c>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30" spans="1:2">
      <c r="A130" s="63" t="s">
        <v>529</v>
      </c>
      <c r="B130" s="63">
        <f>VLOOKUP('Calculos 2'!A130,'Huella Completa'!A16:G702,4,FALSE)*VLOOKUP('Calculos 2'!A130,'Huella Completa'!A16:G702,5,FALSE)*(IF(VLOOKUP('Calculos 2'!A130,'Huella Completa'!A16:G702,3,FALSE)="Tren",Tren,IF(VLOOKUP('Calculos 2'!A130,'Huella Completa'!A16:G702,3,FALSE)="Autobús",Autobús,IF(VLOOKUP('Calculos 2'!A130,'Huella Completa'!A16:G702,3,FALSE)="Avión",Avión,0))))</f>
        <v>0</v>
      </c>
    </row>
    <row r="131" spans="1:2">
      <c r="A131" s="63" t="s">
        <v>530</v>
      </c>
      <c r="B131" s="63">
        <f>VLOOKUP('Calculos 2'!A131,'Huella Completa'!A17:G703,4,FALSE)*VLOOKUP('Calculos 2'!A131,'Huella Completa'!A17:G703,5,FALSE)*(IF(VLOOKUP('Calculos 2'!A131,'Huella Completa'!A17:G703,3,FALSE)="Tren",Tren,IF(VLOOKUP('Calculos 2'!A131,'Huella Completa'!A17:G703,3,FALSE)="Autobús",Autobús,IF(VLOOKUP('Calculos 2'!A131,'Huella Completa'!A17:G703,3,FALSE)="Avión",Avión,0))))</f>
        <v>0</v>
      </c>
    </row>
    <row r="132" spans="1:2">
      <c r="A132" s="63" t="s">
        <v>531</v>
      </c>
      <c r="B132" s="63">
        <f>VLOOKUP('Calculos 2'!A132,'Huella Completa'!A18:G704,4,FALSE)*VLOOKUP('Calculos 2'!A132,'Huella Completa'!A18:G704,5,FALSE)*(IF(VLOOKUP('Calculos 2'!A132,'Huella Completa'!A18:G704,3,FALSE)="Tren",Tren,IF(VLOOKUP('Calculos 2'!A132,'Huella Completa'!A18:G704,3,FALSE)="Autobús",Autobús,IF(VLOOKUP('Calculos 2'!A132,'Huella Completa'!A18:G704,3,FALSE)="Avión",Avión,0))))</f>
        <v>0</v>
      </c>
    </row>
    <row r="133" spans="1:2">
      <c r="A133" s="63" t="s">
        <v>532</v>
      </c>
      <c r="B133" s="63">
        <f>VLOOKUP('Calculos 2'!A133,'Huella Completa'!A19:G705,4,FALSE)*VLOOKUP('Calculos 2'!A133,'Huella Completa'!A19:G705,5,FALSE)*(IF(VLOOKUP('Calculos 2'!A133,'Huella Completa'!A19:G705,3,FALSE)="Tren",Tren,IF(VLOOKUP('Calculos 2'!A133,'Huella Completa'!A19:G705,3,FALSE)="Autobús",Autobús,IF(VLOOKUP('Calculos 2'!A133,'Huella Completa'!A19:G705,3,FALSE)="Avión",Avión,0))))</f>
        <v>0</v>
      </c>
    </row>
    <row r="134" spans="1:2">
      <c r="A134" s="63" t="s">
        <v>533</v>
      </c>
      <c r="B134" s="63">
        <f>VLOOKUP('Calculos 2'!A134,'Huella Completa'!A20:G706,4,FALSE)*VLOOKUP('Calculos 2'!A134,'Huella Completa'!A20:G706,5,FALSE)*(IF(VLOOKUP('Calculos 2'!A134,'Huella Completa'!A20:G706,3,FALSE)="Tren",Tren,IF(VLOOKUP('Calculos 2'!A134,'Huella Completa'!A20:G706,3,FALSE)="Autobús",Autobús,IF(VLOOKUP('Calculos 2'!A134,'Huella Completa'!A20:G706,3,FALSE)="Avión",Avión,0))))</f>
        <v>0</v>
      </c>
    </row>
    <row r="135" spans="1:2">
      <c r="A135" s="63" t="s">
        <v>534</v>
      </c>
      <c r="B135" s="63">
        <f>VLOOKUP('Calculos 2'!A135,'Huella Completa'!A21:G707,4,FALSE)*VLOOKUP('Calculos 2'!A135,'Huella Completa'!A21:G707,5,FALSE)*(IF(VLOOKUP('Calculos 2'!A135,'Huella Completa'!A21:G707,3,FALSE)="Tren",Tren,IF(VLOOKUP('Calculos 2'!A135,'Huella Completa'!A21:G707,3,FALSE)="Autobús",Autobús,IF(VLOOKUP('Calculos 2'!A135,'Huella Completa'!A21:G707,3,FALSE)="Avión",Avión,0))))</f>
        <v>0</v>
      </c>
    </row>
    <row r="136" spans="1:2">
      <c r="A136" s="63" t="s">
        <v>535</v>
      </c>
      <c r="B136" s="63">
        <f>VLOOKUP('Calculos 2'!A136,'Huella Completa'!A23:G708,4,FALSE)*VLOOKUP('Calculos 2'!A136,'Huella Completa'!A23:G708,5,FALSE)*(IF(VLOOKUP('Calculos 2'!A136,'Huella Completa'!A23:G708,3,FALSE)="Tren",Tren,IF(VLOOKUP('Calculos 2'!A136,'Huella Completa'!A23:G708,3,FALSE)="Autobús",Autobús,IF(VLOOKUP('Calculos 2'!A136,'Huella Completa'!A23:G708,3,FALSE)="Avión",Avión,0))))</f>
        <v>0</v>
      </c>
    </row>
    <row r="137" spans="1:2">
      <c r="A137" s="63" t="s">
        <v>536</v>
      </c>
      <c r="B137" s="63">
        <f>VLOOKUP('Calculos 2'!A137,'Huella Completa'!A24:G709,4,FALSE)*VLOOKUP('Calculos 2'!A137,'Huella Completa'!A24:G709,5,FALSE)*(IF(VLOOKUP('Calculos 2'!A137,'Huella Completa'!A24:G709,3,FALSE)="Tren",Tren,IF(VLOOKUP('Calculos 2'!A137,'Huella Completa'!A24:G709,3,FALSE)="Autobús",Autobús,IF(VLOOKUP('Calculos 2'!A137,'Huella Completa'!A24:G709,3,FALSE)="Avión",Avión,0))))</f>
        <v>0</v>
      </c>
    </row>
    <row r="138" spans="1:2">
      <c r="A138" s="63" t="s">
        <v>537</v>
      </c>
      <c r="B138" s="63">
        <f>VLOOKUP('Calculos 2'!A138,'Huella Completa'!A25:G710,4,FALSE)*VLOOKUP('Calculos 2'!A138,'Huella Completa'!A25:G710,5,FALSE)*(IF(VLOOKUP('Calculos 2'!A138,'Huella Completa'!A25:G710,3,FALSE)="Tren",Tren,IF(VLOOKUP('Calculos 2'!A138,'Huella Completa'!A25:G710,3,FALSE)="Autobús",Autobús,IF(VLOOKUP('Calculos 2'!A138,'Huella Completa'!A25:G710,3,FALSE)="Avión",Avión,0))))</f>
        <v>0</v>
      </c>
    </row>
    <row r="139" spans="1:2">
      <c r="A139" s="63" t="s">
        <v>538</v>
      </c>
      <c r="B139" s="63">
        <f>VLOOKUP('Calculos 2'!A139,'Huella Completa'!A26:G711,4,FALSE)*VLOOKUP('Calculos 2'!A139,'Huella Completa'!A26:G711,5,FALSE)*(IF(VLOOKUP('Calculos 2'!A139,'Huella Completa'!A26:G711,3,FALSE)="Tren",Tren,IF(VLOOKUP('Calculos 2'!A139,'Huella Completa'!A26:G711,3,FALSE)="Autobús",Autobús,IF(VLOOKUP('Calculos 2'!A139,'Huella Completa'!A26:G711,3,FALSE)="Avión",Avión,0))))</f>
        <v>0</v>
      </c>
    </row>
    <row r="140" spans="1:2">
      <c r="A140" s="63" t="s">
        <v>539</v>
      </c>
      <c r="B140" s="63" t="e">
        <f>VLOOKUP('Calculos 2'!A140,'Huella Completa'!A34:G712,4,FALSE)*VLOOKUP('Calculos 2'!A140,'Huella Completa'!A34:G712,5,FALSE)*(IF(VLOOKUP('Calculos 2'!A140,'Huella Completa'!A34:G712,3,FALSE)="Tren",Tren,IF(VLOOKUP('Calculos 2'!A140,'Huella Completa'!A34:G712,3,FALSE)="Autobús",Autobús,IF(VLOOKUP('Calculos 2'!A140,'Huella Completa'!A34:G712,3,FALSE)="Avión",Avión,0))))</f>
        <v>#N/A</v>
      </c>
    </row>
    <row r="141" spans="1:2">
      <c r="A141" s="63" t="s">
        <v>540</v>
      </c>
      <c r="B141" s="63" t="e">
        <f>VLOOKUP('Calculos 2'!A141,'Huella Completa'!A35:G713,4,FALSE)*VLOOKUP('Calculos 2'!A141,'Huella Completa'!A35:G713,5,FALSE)*(IF(VLOOKUP('Calculos 2'!A141,'Huella Completa'!A35:G713,3,FALSE)="Tren",Tren,IF(VLOOKUP('Calculos 2'!A141,'Huella Completa'!A35:G713,3,FALSE)="Autobús",Autobús,IF(VLOOKUP('Calculos 2'!A141,'Huella Completa'!A35:G713,3,FALSE)="Avión",Avión,0))))</f>
        <v>#N/A</v>
      </c>
    </row>
    <row r="142" spans="1:2">
      <c r="A142" s="63" t="s">
        <v>541</v>
      </c>
      <c r="B142" s="63" t="e">
        <f>VLOOKUP('Calculos 2'!A142,'Huella Completa'!A36:G714,4,FALSE)*VLOOKUP('Calculos 2'!A142,'Huella Completa'!A36:G714,5,FALSE)*(IF(VLOOKUP('Calculos 2'!A142,'Huella Completa'!A36:G714,3,FALSE)="Tren",Tren,IF(VLOOKUP('Calculos 2'!A142,'Huella Completa'!A36:G714,3,FALSE)="Autobús",Autobús,IF(VLOOKUP('Calculos 2'!A142,'Huella Completa'!A36:G714,3,FALSE)="Avión",Avión,0))))</f>
        <v>#N/A</v>
      </c>
    </row>
    <row r="143" spans="1:2">
      <c r="A143" s="63" t="s">
        <v>542</v>
      </c>
      <c r="B143" s="63" t="e">
        <f>VLOOKUP('Calculos 2'!A143,'Huella Completa'!A37:G715,4,FALSE)*VLOOKUP('Calculos 2'!A143,'Huella Completa'!A37:G715,5,FALSE)*(IF(VLOOKUP('Calculos 2'!A143,'Huella Completa'!A37:G715,3,FALSE)="Tren",Tren,IF(VLOOKUP('Calculos 2'!A143,'Huella Completa'!A37:G715,3,FALSE)="Autobús",Autobús,IF(VLOOKUP('Calculos 2'!A143,'Huella Completa'!A37:G715,3,FALSE)="Avión",Avión,0))))</f>
        <v>#N/A</v>
      </c>
    </row>
    <row r="144" spans="1:2">
      <c r="A144" s="63" t="s">
        <v>543</v>
      </c>
      <c r="B144" s="63" t="e">
        <f>VLOOKUP('Calculos 2'!A144,'Huella Completa'!A38:G716,4,FALSE)*VLOOKUP('Calculos 2'!A144,'Huella Completa'!A38:G716,5,FALSE)*(IF(VLOOKUP('Calculos 2'!A144,'Huella Completa'!A38:G716,3,FALSE)="Tren",Tren,IF(VLOOKUP('Calculos 2'!A144,'Huella Completa'!A38:G716,3,FALSE)="Autobús",Autobús,IF(VLOOKUP('Calculos 2'!A144,'Huella Completa'!A38:G716,3,FALSE)="Avión",Avión,0))))</f>
        <v>#N/A</v>
      </c>
    </row>
    <row r="145" spans="1:2">
      <c r="A145" s="63" t="s">
        <v>544</v>
      </c>
      <c r="B145" s="63" t="e">
        <f>VLOOKUP('Calculos 2'!A145,'Huella Completa'!A39:G717,4,FALSE)*VLOOKUP('Calculos 2'!A145,'Huella Completa'!A39:G717,5,FALSE)*(IF(VLOOKUP('Calculos 2'!A145,'Huella Completa'!A39:G717,3,FALSE)="Tren",Tren,IF(VLOOKUP('Calculos 2'!A145,'Huella Completa'!A39:G717,3,FALSE)="Autobús",Autobús,IF(VLOOKUP('Calculos 2'!A145,'Huella Completa'!A39:G717,3,FALSE)="Avión",Avión,0))))</f>
        <v>#N/A</v>
      </c>
    </row>
    <row r="146" spans="1:2">
      <c r="A146" s="63" t="s">
        <v>545</v>
      </c>
      <c r="B146" s="63" t="e">
        <f>VLOOKUP('Calculos 2'!A146,'Huella Completa'!A40:G718,4,FALSE)*VLOOKUP('Calculos 2'!A146,'Huella Completa'!A40:G718,5,FALSE)*(IF(VLOOKUP('Calculos 2'!A146,'Huella Completa'!A40:G718,3,FALSE)="Tren",Tren,IF(VLOOKUP('Calculos 2'!A146,'Huella Completa'!A40:G718,3,FALSE)="Autobús",Autobús,IF(VLOOKUP('Calculos 2'!A146,'Huella Completa'!A40:G718,3,FALSE)="Avión",Avión,0))))</f>
        <v>#N/A</v>
      </c>
    </row>
    <row r="147" spans="1:2">
      <c r="A147" s="63" t="s">
        <v>546</v>
      </c>
      <c r="B147" s="63" t="e">
        <f>VLOOKUP('Calculos 2'!A147,'Huella Completa'!A41:G719,4,FALSE)*VLOOKUP('Calculos 2'!A147,'Huella Completa'!A41:G719,5,FALSE)*(IF(VLOOKUP('Calculos 2'!A147,'Huella Completa'!A41:G719,3,FALSE)="Tren",Tren,IF(VLOOKUP('Calculos 2'!A147,'Huella Completa'!A41:G719,3,FALSE)="Autobús",Autobús,IF(VLOOKUP('Calculos 2'!A147,'Huella Completa'!A41:G719,3,FALSE)="Avión",Avión,0))))</f>
        <v>#N/A</v>
      </c>
    </row>
    <row r="148" spans="1:2">
      <c r="A148" s="63" t="s">
        <v>547</v>
      </c>
      <c r="B148" s="63" t="e">
        <f>VLOOKUP('Calculos 2'!A148,'Huella Completa'!A42:G720,4,FALSE)*VLOOKUP('Calculos 2'!A148,'Huella Completa'!A42:G720,5,FALSE)*(IF(VLOOKUP('Calculos 2'!A148,'Huella Completa'!A42:G720,3,FALSE)="Tren",Tren,IF(VLOOKUP('Calculos 2'!A148,'Huella Completa'!A42:G720,3,FALSE)="Autobús",Autobús,IF(VLOOKUP('Calculos 2'!A148,'Huella Completa'!A42:G720,3,FALSE)="Avión",Avión,0))))</f>
        <v>#N/A</v>
      </c>
    </row>
    <row r="149" spans="1:2">
      <c r="A149" s="63" t="s">
        <v>548</v>
      </c>
      <c r="B149" s="63" t="e">
        <f>VLOOKUP('Calculos 2'!A149,'Huella Completa'!A43:G721,4,FALSE)*VLOOKUP('Calculos 2'!A149,'Huella Completa'!A43:G721,5,FALSE)*(IF(VLOOKUP('Calculos 2'!A149,'Huella Completa'!A43:G721,3,FALSE)="Tren",Tren,IF(VLOOKUP('Calculos 2'!A149,'Huella Completa'!A43:G721,3,FALSE)="Autobús",Autobús,IF(VLOOKUP('Calculos 2'!A149,'Huella Completa'!A43:G721,3,FALSE)="Avión",Avión,0))))</f>
        <v>#N/A</v>
      </c>
    </row>
    <row r="150" spans="1:2">
      <c r="A150" s="63" t="s">
        <v>549</v>
      </c>
      <c r="B150" s="63" t="e">
        <f>VLOOKUP('Calculos 2'!A150,'Huella Completa'!A44:G722,4,FALSE)*VLOOKUP('Calculos 2'!A150,'Huella Completa'!A44:G722,5,FALSE)*(IF(VLOOKUP('Calculos 2'!A150,'Huella Completa'!A44:G722,3,FALSE)="Tren",Tren,IF(VLOOKUP('Calculos 2'!A150,'Huella Completa'!A44:G722,3,FALSE)="Autobús",Autobús,IF(VLOOKUP('Calculos 2'!A150,'Huella Completa'!A44:G722,3,FALSE)="Avión",Avión,0))))</f>
        <v>#N/A</v>
      </c>
    </row>
    <row r="151" spans="1:2">
      <c r="A151" s="63" t="s">
        <v>550</v>
      </c>
      <c r="B151" s="63" t="e">
        <f>VLOOKUP('Calculos 2'!A151,'Huella Completa'!A45:G723,4,FALSE)*VLOOKUP('Calculos 2'!A151,'Huella Completa'!A45:G723,5,FALSE)*(IF(VLOOKUP('Calculos 2'!A151,'Huella Completa'!A45:G723,3,FALSE)="Tren",Tren,IF(VLOOKUP('Calculos 2'!A151,'Huella Completa'!A45:G723,3,FALSE)="Autobús",Autobús,IF(VLOOKUP('Calculos 2'!A151,'Huella Completa'!A45:G723,3,FALSE)="Avión",Avión,0))))</f>
        <v>#N/A</v>
      </c>
    </row>
    <row r="152" spans="1:2">
      <c r="A152" s="63" t="s">
        <v>551</v>
      </c>
      <c r="B152" s="63" t="e">
        <f>VLOOKUP('Calculos 2'!A152,'Huella Completa'!A46:G724,4,FALSE)*VLOOKUP('Calculos 2'!A152,'Huella Completa'!A46:G724,5,FALSE)*(IF(VLOOKUP('Calculos 2'!A152,'Huella Completa'!A46:G724,3,FALSE)="Tren",Tren,IF(VLOOKUP('Calculos 2'!A152,'Huella Completa'!A46:G724,3,FALSE)="Autobús",Autobús,IF(VLOOKUP('Calculos 2'!A152,'Huella Completa'!A46:G724,3,FALSE)="Avión",Avión,0))))</f>
        <v>#N/A</v>
      </c>
    </row>
    <row r="153" spans="1:2">
      <c r="A153" s="63" t="s">
        <v>552</v>
      </c>
      <c r="B153" s="63" t="e">
        <f>VLOOKUP('Calculos 2'!A153,'Huella Completa'!A47:G725,4,FALSE)*VLOOKUP('Calculos 2'!A153,'Huella Completa'!A47:G725,5,FALSE)*(IF(VLOOKUP('Calculos 2'!A153,'Huella Completa'!A47:G725,3,FALSE)="Tren",Tren,IF(VLOOKUP('Calculos 2'!A153,'Huella Completa'!A47:G725,3,FALSE)="Autobús",Autobús,IF(VLOOKUP('Calculos 2'!A153,'Huella Completa'!A47:G725,3,FALSE)="Avión",Avión,0))))</f>
        <v>#N/A</v>
      </c>
    </row>
    <row r="154" spans="1:2">
      <c r="A154" s="63" t="s">
        <v>553</v>
      </c>
      <c r="B154" s="63" t="e">
        <f>VLOOKUP('Calculos 2'!A154,'Huella Completa'!A48:G726,4,FALSE)*VLOOKUP('Calculos 2'!A154,'Huella Completa'!A48:G726,5,FALSE)*(IF(VLOOKUP('Calculos 2'!A154,'Huella Completa'!A48:G726,3,FALSE)="Tren",Tren,IF(VLOOKUP('Calculos 2'!A154,'Huella Completa'!A48:G726,3,FALSE)="Autobús",Autobús,IF(VLOOKUP('Calculos 2'!A154,'Huella Completa'!A48:G726,3,FALSE)="Avión",Avión,0))))</f>
        <v>#N/A</v>
      </c>
    </row>
    <row r="155" spans="1:2">
      <c r="A155" s="63" t="s">
        <v>554</v>
      </c>
      <c r="B155" s="63" t="e">
        <f>VLOOKUP('Calculos 2'!A155,'Huella Completa'!A49:G727,4,FALSE)*VLOOKUP('Calculos 2'!A155,'Huella Completa'!A49:G727,5,FALSE)*(IF(VLOOKUP('Calculos 2'!A155,'Huella Completa'!A49:G727,3,FALSE)="Tren",Tren,IF(VLOOKUP('Calculos 2'!A155,'Huella Completa'!A49:G727,3,FALSE)="Autobús",Autobús,IF(VLOOKUP('Calculos 2'!A155,'Huella Completa'!A49:G727,3,FALSE)="Avión",Avión,0))))</f>
        <v>#N/A</v>
      </c>
    </row>
    <row r="156" spans="1:2">
      <c r="A156" s="63" t="s">
        <v>555</v>
      </c>
      <c r="B156" s="63" t="e">
        <f>VLOOKUP('Calculos 2'!A156,'Huella Completa'!A50:G728,4,FALSE)*VLOOKUP('Calculos 2'!A156,'Huella Completa'!A50:G728,5,FALSE)*(IF(VLOOKUP('Calculos 2'!A156,'Huella Completa'!A50:G728,3,FALSE)="Tren",Tren,IF(VLOOKUP('Calculos 2'!A156,'Huella Completa'!A50:G728,3,FALSE)="Autobús",Autobús,IF(VLOOKUP('Calculos 2'!A156,'Huella Completa'!A50:G728,3,FALSE)="Avión",Avión,0))))</f>
        <v>#N/A</v>
      </c>
    </row>
    <row r="157" spans="1:2">
      <c r="A157" s="63" t="s">
        <v>556</v>
      </c>
      <c r="B157" s="63" t="e">
        <f>VLOOKUP('Calculos 2'!A157,'Huella Completa'!A51:G729,4,FALSE)*VLOOKUP('Calculos 2'!A157,'Huella Completa'!A51:G729,5,FALSE)*(IF(VLOOKUP('Calculos 2'!A157,'Huella Completa'!A51:G729,3,FALSE)="Tren",Tren,IF(VLOOKUP('Calculos 2'!A157,'Huella Completa'!A51:G729,3,FALSE)="Autobús",Autobús,IF(VLOOKUP('Calculos 2'!A157,'Huella Completa'!A51:G729,3,FALSE)="Avión",Avión,0))))</f>
        <v>#N/A</v>
      </c>
    </row>
    <row r="158" spans="1:2">
      <c r="A158" s="63" t="s">
        <v>557</v>
      </c>
      <c r="B158" s="63" t="e">
        <f>VLOOKUP('Calculos 2'!A158,'Huella Completa'!A52:G730,4,FALSE)*VLOOKUP('Calculos 2'!A158,'Huella Completa'!A52:G730,5,FALSE)*(IF(VLOOKUP('Calculos 2'!A158,'Huella Completa'!A52:G730,3,FALSE)="Tren",Tren,IF(VLOOKUP('Calculos 2'!A158,'Huella Completa'!A52:G730,3,FALSE)="Autobús",Autobús,IF(VLOOKUP('Calculos 2'!A158,'Huella Completa'!A52:G730,3,FALSE)="Avión",Avión,0))))</f>
        <v>#N/A</v>
      </c>
    </row>
    <row r="159" spans="1:2">
      <c r="A159" s="63" t="s">
        <v>558</v>
      </c>
      <c r="B159" s="63" t="e">
        <f>VLOOKUP('Calculos 2'!A159,'Huella Completa'!A53:G731,4,FALSE)*VLOOKUP('Calculos 2'!A159,'Huella Completa'!A53:G731,5,FALSE)*(IF(VLOOKUP('Calculos 2'!A159,'Huella Completa'!A53:G731,3,FALSE)="Tren",Tren,IF(VLOOKUP('Calculos 2'!A159,'Huella Completa'!A53:G731,3,FALSE)="Autobús",Autobús,IF(VLOOKUP('Calculos 2'!A159,'Huella Completa'!A53:G731,3,FALSE)="Avión",Avión,0))))</f>
        <v>#N/A</v>
      </c>
    </row>
    <row r="160" spans="1:2">
      <c r="A160" s="63" t="s">
        <v>559</v>
      </c>
      <c r="B160" s="63" t="e">
        <f>VLOOKUP('Calculos 2'!A160,'Huella Completa'!A54:G732,4,FALSE)*VLOOKUP('Calculos 2'!A160,'Huella Completa'!A54:G732,5,FALSE)*(IF(VLOOKUP('Calculos 2'!A160,'Huella Completa'!A54:G732,3,FALSE)="Tren",Tren,IF(VLOOKUP('Calculos 2'!A160,'Huella Completa'!A54:G732,3,FALSE)="Autobús",Autobús,IF(VLOOKUP('Calculos 2'!A160,'Huella Completa'!A54:G732,3,FALSE)="Avión",Avión,0))))</f>
        <v>#N/A</v>
      </c>
    </row>
    <row r="161" spans="1:2">
      <c r="A161" s="63" t="s">
        <v>560</v>
      </c>
      <c r="B161" s="63" t="e">
        <f>VLOOKUP('Calculos 2'!A161,'Huella Completa'!A55:G733,4,FALSE)*VLOOKUP('Calculos 2'!A161,'Huella Completa'!A55:G733,5,FALSE)*(IF(VLOOKUP('Calculos 2'!A161,'Huella Completa'!A55:G733,3,FALSE)="Tren",Tren,IF(VLOOKUP('Calculos 2'!A161,'Huella Completa'!A55:G733,3,FALSE)="Autobús",Autobús,IF(VLOOKUP('Calculos 2'!A161,'Huella Completa'!A55:G733,3,FALSE)="Avión",Avión,0))))</f>
        <v>#N/A</v>
      </c>
    </row>
    <row r="162" spans="1:2">
      <c r="A162" s="63" t="s">
        <v>561</v>
      </c>
      <c r="B162" s="63" t="e">
        <f>VLOOKUP('Calculos 2'!A162,'Huella Completa'!A56:G734,4,FALSE)*VLOOKUP('Calculos 2'!A162,'Huella Completa'!A56:G734,5,FALSE)*(IF(VLOOKUP('Calculos 2'!A162,'Huella Completa'!A56:G734,3,FALSE)="Tren",Tren,IF(VLOOKUP('Calculos 2'!A162,'Huella Completa'!A56:G734,3,FALSE)="Autobús",Autobús,IF(VLOOKUP('Calculos 2'!A162,'Huella Completa'!A56:G734,3,FALSE)="Avión",Avión,0))))</f>
        <v>#N/A</v>
      </c>
    </row>
    <row r="163" spans="1:2">
      <c r="A163" s="63" t="s">
        <v>562</v>
      </c>
      <c r="B163" s="63" t="e">
        <f>VLOOKUP('Calculos 2'!A163,'Huella Completa'!A57:G735,4,FALSE)*VLOOKUP('Calculos 2'!A163,'Huella Completa'!A57:G735,5,FALSE)*(IF(VLOOKUP('Calculos 2'!A163,'Huella Completa'!A57:G735,3,FALSE)="Tren",Tren,IF(VLOOKUP('Calculos 2'!A163,'Huella Completa'!A57:G735,3,FALSE)="Autobús",Autobús,IF(VLOOKUP('Calculos 2'!A163,'Huella Completa'!A57:G735,3,FALSE)="Avión",Avión,0))))</f>
        <v>#N/A</v>
      </c>
    </row>
    <row r="164" spans="1:2">
      <c r="A164" s="63" t="s">
        <v>563</v>
      </c>
      <c r="B164" s="63" t="e">
        <f>VLOOKUP('Calculos 2'!A164,'Huella Completa'!A58:G736,4,FALSE)*VLOOKUP('Calculos 2'!A164,'Huella Completa'!A58:G736,5,FALSE)*(IF(VLOOKUP('Calculos 2'!A164,'Huella Completa'!A58:G736,3,FALSE)="Tren",Tren,IF(VLOOKUP('Calculos 2'!A164,'Huella Completa'!A58:G736,3,FALSE)="Autobús",Autobús,IF(VLOOKUP('Calculos 2'!A164,'Huella Completa'!A58:G736,3,FALSE)="Avión",Avión,0))))</f>
        <v>#N/A</v>
      </c>
    </row>
    <row r="165" spans="1:2">
      <c r="A165" s="63" t="s">
        <v>564</v>
      </c>
      <c r="B165" s="63" t="e">
        <f>VLOOKUP('Calculos 2'!A165,'Huella Completa'!A59:G737,4,FALSE)*VLOOKUP('Calculos 2'!A165,'Huella Completa'!A59:G737,5,FALSE)*(IF(VLOOKUP('Calculos 2'!A165,'Huella Completa'!A59:G737,3,FALSE)="Tren",Tren,IF(VLOOKUP('Calculos 2'!A165,'Huella Completa'!A59:G737,3,FALSE)="Autobús",Autobús,IF(VLOOKUP('Calculos 2'!A165,'Huella Completa'!A59:G737,3,FALSE)="Avión",Avión,0))))</f>
        <v>#N/A</v>
      </c>
    </row>
    <row r="166" spans="1:2">
      <c r="A166" s="63" t="s">
        <v>565</v>
      </c>
      <c r="B166" s="63" t="e">
        <f>VLOOKUP('Calculos 2'!A166,'Huella Completa'!A60:G738,4,FALSE)*VLOOKUP('Calculos 2'!A166,'Huella Completa'!A60:G738,5,FALSE)*(IF(VLOOKUP('Calculos 2'!A166,'Huella Completa'!A60:G738,3,FALSE)="Tren",Tren,IF(VLOOKUP('Calculos 2'!A166,'Huella Completa'!A60:G738,3,FALSE)="Autobús",Autobús,IF(VLOOKUP('Calculos 2'!A166,'Huella Completa'!A60:G738,3,FALSE)="Avión",Avión,0))))</f>
        <v>#N/A</v>
      </c>
    </row>
    <row r="167" spans="1:2">
      <c r="A167" s="63" t="s">
        <v>566</v>
      </c>
      <c r="B167" s="63" t="e">
        <f>VLOOKUP('Calculos 2'!A167,'Huella Completa'!A61:G739,4,FALSE)*VLOOKUP('Calculos 2'!A167,'Huella Completa'!A61:G739,5,FALSE)*(IF(VLOOKUP('Calculos 2'!A167,'Huella Completa'!A61:G739,3,FALSE)="Tren",Tren,IF(VLOOKUP('Calculos 2'!A167,'Huella Completa'!A61:G739,3,FALSE)="Autobús",Autobús,IF(VLOOKUP('Calculos 2'!A167,'Huella Completa'!A61:G739,3,FALSE)="Avión",Avión,0))))</f>
        <v>#N/A</v>
      </c>
    </row>
    <row r="168" spans="1:2">
      <c r="A168" s="63" t="s">
        <v>567</v>
      </c>
      <c r="B168" s="63" t="e">
        <f>VLOOKUP('Calculos 2'!A168,'Huella Completa'!A62:G740,4,FALSE)*VLOOKUP('Calculos 2'!A168,'Huella Completa'!A62:G740,5,FALSE)*(IF(VLOOKUP('Calculos 2'!A168,'Huella Completa'!A62:G740,3,FALSE)="Tren",Tren,IF(VLOOKUP('Calculos 2'!A168,'Huella Completa'!A62:G740,3,FALSE)="Autobús",Autobús,IF(VLOOKUP('Calculos 2'!A168,'Huella Completa'!A62:G740,3,FALSE)="Avión",Avión,0))))</f>
        <v>#N/A</v>
      </c>
    </row>
    <row r="169" spans="1:2">
      <c r="A169" s="63" t="s">
        <v>568</v>
      </c>
      <c r="B169" s="63" t="e">
        <f>VLOOKUP('Calculos 2'!A169,'Huella Completa'!A63:G741,4,FALSE)*VLOOKUP('Calculos 2'!A169,'Huella Completa'!A63:G741,5,FALSE)*(IF(VLOOKUP('Calculos 2'!A169,'Huella Completa'!A63:G741,3,FALSE)="Tren",Tren,IF(VLOOKUP('Calculos 2'!A169,'Huella Completa'!A63:G741,3,FALSE)="Autobús",Autobús,IF(VLOOKUP('Calculos 2'!A169,'Huella Completa'!A63:G741,3,FALSE)="Avión",Avión,0))))</f>
        <v>#N/A</v>
      </c>
    </row>
    <row r="170" spans="1:2">
      <c r="A170" s="63" t="s">
        <v>569</v>
      </c>
      <c r="B170" s="63" t="e">
        <f>VLOOKUP('Calculos 2'!A170,'Huella Completa'!A64:G742,4,FALSE)*VLOOKUP('Calculos 2'!A170,'Huella Completa'!A64:G742,5,FALSE)*(IF(VLOOKUP('Calculos 2'!A170,'Huella Completa'!A64:G742,3,FALSE)="Tren",Tren,IF(VLOOKUP('Calculos 2'!A170,'Huella Completa'!A64:G742,3,FALSE)="Autobús",Autobús,IF(VLOOKUP('Calculos 2'!A170,'Huella Completa'!A64:G742,3,FALSE)="Avión",Avión,0))))</f>
        <v>#N/A</v>
      </c>
    </row>
    <row r="171" spans="1:2">
      <c r="A171" s="63" t="s">
        <v>570</v>
      </c>
      <c r="B171" s="63" t="e">
        <f>VLOOKUP('Calculos 2'!A171,'Huella Completa'!A65:G743,4,FALSE)*VLOOKUP('Calculos 2'!A171,'Huella Completa'!A65:G743,5,FALSE)*(IF(VLOOKUP('Calculos 2'!A171,'Huella Completa'!A65:G743,3,FALSE)="Tren",Tren,IF(VLOOKUP('Calculos 2'!A171,'Huella Completa'!A65:G743,3,FALSE)="Autobús",Autobús,IF(VLOOKUP('Calculos 2'!A171,'Huella Completa'!A65:G743,3,FALSE)="Avión",Avión,0))))</f>
        <v>#N/A</v>
      </c>
    </row>
    <row r="172" spans="1:2">
      <c r="A172" s="63" t="s">
        <v>571</v>
      </c>
      <c r="B172" s="63" t="e">
        <f>VLOOKUP('Calculos 2'!A172,'Huella Completa'!A66:G744,4,FALSE)*VLOOKUP('Calculos 2'!A172,'Huella Completa'!A66:G744,5,FALSE)*(IF(VLOOKUP('Calculos 2'!A172,'Huella Completa'!A66:G744,3,FALSE)="Tren",Tren,IF(VLOOKUP('Calculos 2'!A172,'Huella Completa'!A66:G744,3,FALSE)="Autobús",Autobús,IF(VLOOKUP('Calculos 2'!A172,'Huella Completa'!A66:G744,3,FALSE)="Avión",Avión,0))))</f>
        <v>#N/A</v>
      </c>
    </row>
    <row r="173" spans="1:2">
      <c r="A173" s="63" t="s">
        <v>572</v>
      </c>
      <c r="B173" s="63" t="e">
        <f>VLOOKUP('Calculos 2'!A173,'Huella Completa'!A67:G745,4,FALSE)*VLOOKUP('Calculos 2'!A173,'Huella Completa'!A67:G745,5,FALSE)*(IF(VLOOKUP('Calculos 2'!A173,'Huella Completa'!A67:G745,3,FALSE)="Tren",Tren,IF(VLOOKUP('Calculos 2'!A173,'Huella Completa'!A67:G745,3,FALSE)="Autobús",Autobús,IF(VLOOKUP('Calculos 2'!A173,'Huella Completa'!A67:G745,3,FALSE)="Avión",Avión,0))))</f>
        <v>#N/A</v>
      </c>
    </row>
    <row r="174" spans="1:2">
      <c r="A174" s="63" t="s">
        <v>573</v>
      </c>
      <c r="B174" s="63" t="e">
        <f>VLOOKUP('Calculos 2'!A174,'Huella Completa'!A68:G746,4,FALSE)*VLOOKUP('Calculos 2'!A174,'Huella Completa'!A68:G746,5,FALSE)*(IF(VLOOKUP('Calculos 2'!A174,'Huella Completa'!A68:G746,3,FALSE)="Tren",Tren,IF(VLOOKUP('Calculos 2'!A174,'Huella Completa'!A68:G746,3,FALSE)="Autobús",Autobús,IF(VLOOKUP('Calculos 2'!A174,'Huella Completa'!A68:G746,3,FALSE)="Avión",Avión,0))))</f>
        <v>#N/A</v>
      </c>
    </row>
    <row r="175" spans="1:2">
      <c r="A175" s="63" t="s">
        <v>574</v>
      </c>
      <c r="B175" s="63" t="e">
        <f>VLOOKUP('Calculos 2'!A175,'Huella Completa'!A69:G747,4,FALSE)*VLOOKUP('Calculos 2'!A175,'Huella Completa'!A69:G747,5,FALSE)*(IF(VLOOKUP('Calculos 2'!A175,'Huella Completa'!A69:G747,3,FALSE)="Tren",Tren,IF(VLOOKUP('Calculos 2'!A175,'Huella Completa'!A69:G747,3,FALSE)="Autobús",Autobús,IF(VLOOKUP('Calculos 2'!A175,'Huella Completa'!A69:G747,3,FALSE)="Avión",Avión,0))))</f>
        <v>#N/A</v>
      </c>
    </row>
    <row r="176" spans="1:2">
      <c r="A176" s="63" t="s">
        <v>575</v>
      </c>
      <c r="B176" s="63" t="e">
        <f>VLOOKUP('Calculos 2'!A176,'Huella Completa'!A70:G748,4,FALSE)*VLOOKUP('Calculos 2'!A176,'Huella Completa'!A70:G748,5,FALSE)*(IF(VLOOKUP('Calculos 2'!A176,'Huella Completa'!A70:G748,3,FALSE)="Tren",Tren,IF(VLOOKUP('Calculos 2'!A176,'Huella Completa'!A70:G748,3,FALSE)="Autobús",Autobús,IF(VLOOKUP('Calculos 2'!A176,'Huella Completa'!A70:G748,3,FALSE)="Avión",Avión,0))))</f>
        <v>#N/A</v>
      </c>
    </row>
    <row r="177" spans="1:2">
      <c r="A177" s="63" t="s">
        <v>576</v>
      </c>
      <c r="B177" s="63" t="e">
        <f>VLOOKUP('Calculos 2'!A177,'Huella Completa'!A71:G749,4,FALSE)*VLOOKUP('Calculos 2'!A177,'Huella Completa'!A71:G749,5,FALSE)*(IF(VLOOKUP('Calculos 2'!A177,'Huella Completa'!A71:G749,3,FALSE)="Tren",Tren,IF(VLOOKUP('Calculos 2'!A177,'Huella Completa'!A71:G749,3,FALSE)="Autobús",Autobús,IF(VLOOKUP('Calculos 2'!A177,'Huella Completa'!A71:G749,3,FALSE)="Avión",Avión,0))))</f>
        <v>#N/A</v>
      </c>
    </row>
    <row r="178" spans="1:2">
      <c r="A178" s="63" t="s">
        <v>577</v>
      </c>
      <c r="B178" s="63" t="e">
        <f>VLOOKUP('Calculos 2'!A178,'Huella Completa'!A72:G750,4,FALSE)*VLOOKUP('Calculos 2'!A178,'Huella Completa'!A72:G750,5,FALSE)*(IF(VLOOKUP('Calculos 2'!A178,'Huella Completa'!A72:G750,3,FALSE)="Tren",Tren,IF(VLOOKUP('Calculos 2'!A178,'Huella Completa'!A72:G750,3,FALSE)="Autobús",Autobús,IF(VLOOKUP('Calculos 2'!A178,'Huella Completa'!A72:G750,3,FALSE)="Avión",Avión,0))))</f>
        <v>#N/A</v>
      </c>
    </row>
    <row r="179" spans="1:2">
      <c r="A179" s="63" t="s">
        <v>578</v>
      </c>
      <c r="B179" s="63" t="e">
        <f>VLOOKUP('Calculos 2'!A179,'Huella Completa'!A74:G751,4,FALSE)*VLOOKUP('Calculos 2'!A179,'Huella Completa'!A74:G751,5,FALSE)*(IF(VLOOKUP('Calculos 2'!A179,'Huella Completa'!A74:G751,3,FALSE)="Tren",Tren,IF(VLOOKUP('Calculos 2'!A179,'Huella Completa'!A74:G751,3,FALSE)="Autobús",Autobús,IF(VLOOKUP('Calculos 2'!A179,'Huella Completa'!A74:G751,3,FALSE)="Avión",Avión,0))))</f>
        <v>#N/A</v>
      </c>
    </row>
    <row r="180" spans="1:2">
      <c r="A180" s="63" t="s">
        <v>579</v>
      </c>
      <c r="B180" s="63" t="e">
        <f>VLOOKUP('Calculos 2'!A180,'Huella Completa'!A75:G752,4,FALSE)*VLOOKUP('Calculos 2'!A180,'Huella Completa'!A75:G752,5,FALSE)*(IF(VLOOKUP('Calculos 2'!A180,'Huella Completa'!A75:G752,3,FALSE)="Tren",Tren,IF(VLOOKUP('Calculos 2'!A180,'Huella Completa'!A75:G752,3,FALSE)="Autobús",Autobús,IF(VLOOKUP('Calculos 2'!A180,'Huella Completa'!A75:G752,3,FALSE)="Avión",Avión,0))))</f>
        <v>#N/A</v>
      </c>
    </row>
    <row r="181" spans="1:2">
      <c r="A181" s="63" t="s">
        <v>580</v>
      </c>
      <c r="B181" s="63" t="e">
        <f>VLOOKUP('Calculos 2'!A181,'Huella Completa'!A76:G753,4,FALSE)*VLOOKUP('Calculos 2'!A181,'Huella Completa'!A76:G753,5,FALSE)*(IF(VLOOKUP('Calculos 2'!A181,'Huella Completa'!A76:G753,3,FALSE)="Tren",Tren,IF(VLOOKUP('Calculos 2'!A181,'Huella Completa'!A76:G753,3,FALSE)="Autobús",Autobús,IF(VLOOKUP('Calculos 2'!A181,'Huella Completa'!A76:G753,3,FALSE)="Avión",Avión,0))))</f>
        <v>#N/A</v>
      </c>
    </row>
    <row r="182" spans="1:2">
      <c r="A182" s="63" t="s">
        <v>581</v>
      </c>
      <c r="B182" s="63" t="e">
        <f>VLOOKUP('Calculos 2'!A182,'Huella Completa'!A77:G754,4,FALSE)*VLOOKUP('Calculos 2'!A182,'Huella Completa'!A77:G754,5,FALSE)*(IF(VLOOKUP('Calculos 2'!A182,'Huella Completa'!A77:G754,3,FALSE)="Tren",Tren,IF(VLOOKUP('Calculos 2'!A182,'Huella Completa'!A77:G754,3,FALSE)="Autobús",Autobús,IF(VLOOKUP('Calculos 2'!A182,'Huella Completa'!A77:G754,3,FALSE)="Avión",Avión,0))))</f>
        <v>#N/A</v>
      </c>
    </row>
    <row r="183" spans="1:2">
      <c r="A183" s="63" t="s">
        <v>582</v>
      </c>
      <c r="B183" s="63" t="e">
        <f>VLOOKUP('Calculos 2'!A183,'Huella Completa'!A84:G755,4,FALSE)*VLOOKUP('Calculos 2'!A183,'Huella Completa'!A84:G755,5,FALSE)*(IF(VLOOKUP('Calculos 2'!A183,'Huella Completa'!A84:G755,3,FALSE)="Tren",Tren,IF(VLOOKUP('Calculos 2'!A183,'Huella Completa'!A84:G755,3,FALSE)="Autobús",Autobús,IF(VLOOKUP('Calculos 2'!A183,'Huella Completa'!A84:G755,3,FALSE)="Avión",Avión,0))))</f>
        <v>#N/A</v>
      </c>
    </row>
    <row r="184" spans="1:2">
      <c r="A184" s="63" t="s">
        <v>583</v>
      </c>
      <c r="B184" s="63" t="e">
        <f>VLOOKUP('Calculos 2'!A184,'Huella Completa'!A86:G756,4,FALSE)*VLOOKUP('Calculos 2'!A184,'Huella Completa'!A86:G756,5,FALSE)*(IF(VLOOKUP('Calculos 2'!A184,'Huella Completa'!A86:G756,3,FALSE)="Tren",Tren,IF(VLOOKUP('Calculos 2'!A184,'Huella Completa'!A86:G756,3,FALSE)="Autobús",Autobús,IF(VLOOKUP('Calculos 2'!A184,'Huella Completa'!A86:G756,3,FALSE)="Avión",Avión,0))))</f>
        <v>#N/A</v>
      </c>
    </row>
    <row r="185" spans="1:2">
      <c r="A185" s="63" t="s">
        <v>584</v>
      </c>
      <c r="B185" s="63" t="e">
        <f>VLOOKUP('Calculos 2'!A185,'Huella Completa'!A87:G757,4,FALSE)*VLOOKUP('Calculos 2'!A185,'Huella Completa'!A87:G757,5,FALSE)*(IF(VLOOKUP('Calculos 2'!A185,'Huella Completa'!A87:G757,3,FALSE)="Tren",Tren,IF(VLOOKUP('Calculos 2'!A185,'Huella Completa'!A87:G757,3,FALSE)="Autobús",Autobús,IF(VLOOKUP('Calculos 2'!A185,'Huella Completa'!A87:G757,3,FALSE)="Avión",Avión,0))))</f>
        <v>#N/A</v>
      </c>
    </row>
    <row r="186" spans="1:2">
      <c r="A186" s="63" t="s">
        <v>585</v>
      </c>
      <c r="B186" s="63" t="e">
        <f>VLOOKUP('Calculos 2'!A186,'Huella Completa'!A88:G758,4,FALSE)*VLOOKUP('Calculos 2'!A186,'Huella Completa'!A88:G758,5,FALSE)*(IF(VLOOKUP('Calculos 2'!A186,'Huella Completa'!A88:G758,3,FALSE)="Tren",Tren,IF(VLOOKUP('Calculos 2'!A186,'Huella Completa'!A88:G758,3,FALSE)="Autobús",Autobús,IF(VLOOKUP('Calculos 2'!A186,'Huella Completa'!A88:G758,3,FALSE)="Avión",Avión,0))))</f>
        <v>#N/A</v>
      </c>
    </row>
    <row r="187" spans="1:2">
      <c r="A187" s="63" t="s">
        <v>586</v>
      </c>
      <c r="B187" s="63" t="e">
        <f>VLOOKUP('Calculos 2'!A187,'Huella Completa'!A89:G759,4,FALSE)*VLOOKUP('Calculos 2'!A187,'Huella Completa'!A89:G759,5,FALSE)*(IF(VLOOKUP('Calculos 2'!A187,'Huella Completa'!A89:G759,3,FALSE)="Tren",Tren,IF(VLOOKUP('Calculos 2'!A187,'Huella Completa'!A89:G759,3,FALSE)="Autobús",Autobús,IF(VLOOKUP('Calculos 2'!A187,'Huella Completa'!A89:G759,3,FALSE)="Avión",Avión,0))))</f>
        <v>#N/A</v>
      </c>
    </row>
    <row r="188" spans="1:2">
      <c r="A188" s="63" t="s">
        <v>587</v>
      </c>
      <c r="B188" s="63" t="e">
        <f>VLOOKUP('Calculos 2'!A188,'Huella Completa'!A90:G760,4,FALSE)*VLOOKUP('Calculos 2'!A188,'Huella Completa'!A90:G760,5,FALSE)*(IF(VLOOKUP('Calculos 2'!A188,'Huella Completa'!A90:G760,3,FALSE)="Tren",Tren,IF(VLOOKUP('Calculos 2'!A188,'Huella Completa'!A90:G760,3,FALSE)="Autobús",Autobús,IF(VLOOKUP('Calculos 2'!A188,'Huella Completa'!A90:G760,3,FALSE)="Avión",Avión,0))))</f>
        <v>#N/A</v>
      </c>
    </row>
    <row r="189" spans="1:2">
      <c r="A189" s="63" t="s">
        <v>588</v>
      </c>
      <c r="B189" s="63" t="e">
        <f>VLOOKUP('Calculos 2'!A189,'Huella Completa'!A91:G761,4,FALSE)*VLOOKUP('Calculos 2'!A189,'Huella Completa'!A91:G761,5,FALSE)*(IF(VLOOKUP('Calculos 2'!A189,'Huella Completa'!A91:G761,3,FALSE)="Tren",Tren,IF(VLOOKUP('Calculos 2'!A189,'Huella Completa'!A91:G761,3,FALSE)="Autobús",Autobús,IF(VLOOKUP('Calculos 2'!A189,'Huella Completa'!A91:G761,3,FALSE)="Avión",Avión,0))))</f>
        <v>#N/A</v>
      </c>
    </row>
    <row r="190" spans="1:2">
      <c r="A190" s="63" t="s">
        <v>589</v>
      </c>
      <c r="B190" s="63" t="e">
        <f>VLOOKUP('Calculos 2'!A190,'Huella Completa'!A92:G762,4,FALSE)*VLOOKUP('Calculos 2'!A190,'Huella Completa'!A92:G762,5,FALSE)*(IF(VLOOKUP('Calculos 2'!A190,'Huella Completa'!A92:G762,3,FALSE)="Tren",Tren,IF(VLOOKUP('Calculos 2'!A190,'Huella Completa'!A92:G762,3,FALSE)="Autobús",Autobús,IF(VLOOKUP('Calculos 2'!A190,'Huella Completa'!A92:G762,3,FALSE)="Avión",Avión,0))))</f>
        <v>#N/A</v>
      </c>
    </row>
    <row r="191" spans="1:2">
      <c r="A191" s="63" t="s">
        <v>590</v>
      </c>
      <c r="B191" s="63" t="e">
        <f>VLOOKUP('Calculos 2'!A191,'Huella Completa'!A93:G763,4,FALSE)*VLOOKUP('Calculos 2'!A191,'Huella Completa'!A93:G763,5,FALSE)*(IF(VLOOKUP('Calculos 2'!A191,'Huella Completa'!A93:G763,3,FALSE)="Tren",Tren,IF(VLOOKUP('Calculos 2'!A191,'Huella Completa'!A93:G763,3,FALSE)="Autobús",Autobús,IF(VLOOKUP('Calculos 2'!A191,'Huella Completa'!A93:G763,3,FALSE)="Avión",Avión,0))))</f>
        <v>#N/A</v>
      </c>
    </row>
    <row r="192" spans="1:2">
      <c r="A192" s="63" t="s">
        <v>591</v>
      </c>
      <c r="B192" s="63" t="e">
        <f>VLOOKUP('Calculos 2'!A192,'Huella Completa'!A94:G764,4,FALSE)*VLOOKUP('Calculos 2'!A192,'Huella Completa'!A94:G764,5,FALSE)*(IF(VLOOKUP('Calculos 2'!A192,'Huella Completa'!A94:G764,3,FALSE)="Tren",Tren,IF(VLOOKUP('Calculos 2'!A192,'Huella Completa'!A94:G764,3,FALSE)="Autobús",Autobús,IF(VLOOKUP('Calculos 2'!A192,'Huella Completa'!A94:G764,3,FALSE)="Avión",Avión,0))))</f>
        <v>#N/A</v>
      </c>
    </row>
    <row r="193" spans="1:2">
      <c r="A193" s="63" t="s">
        <v>592</v>
      </c>
      <c r="B193" s="63" t="e">
        <f>VLOOKUP('Calculos 2'!A193,'Huella Completa'!A95:G765,4,FALSE)*VLOOKUP('Calculos 2'!A193,'Huella Completa'!A95:G765,5,FALSE)*(IF(VLOOKUP('Calculos 2'!A193,'Huella Completa'!A95:G765,3,FALSE)="Tren",Tren,IF(VLOOKUP('Calculos 2'!A193,'Huella Completa'!A95:G765,3,FALSE)="Autobús",Autobús,IF(VLOOKUP('Calculos 2'!A193,'Huella Completa'!A95:G765,3,FALSE)="Avión",Avión,0))))</f>
        <v>#N/A</v>
      </c>
    </row>
    <row r="194" spans="1:2">
      <c r="A194" s="63" t="s">
        <v>593</v>
      </c>
      <c r="B194" s="63" t="e">
        <f>VLOOKUP('Calculos 2'!A194,'Huella Completa'!A96:G766,4,FALSE)*VLOOKUP('Calculos 2'!A194,'Huella Completa'!A96:G766,5,FALSE)*(IF(VLOOKUP('Calculos 2'!A194,'Huella Completa'!A96:G766,3,FALSE)="Tren",Tren,IF(VLOOKUP('Calculos 2'!A194,'Huella Completa'!A96:G766,3,FALSE)="Autobús",Autobús,IF(VLOOKUP('Calculos 2'!A194,'Huella Completa'!A96:G766,3,FALSE)="Avión",Avión,0))))</f>
        <v>#N/A</v>
      </c>
    </row>
    <row r="195" spans="1:2">
      <c r="A195" s="63" t="s">
        <v>594</v>
      </c>
      <c r="B195" s="63" t="e">
        <f>VLOOKUP('Calculos 2'!A195,'Huella Completa'!A97:G767,4,FALSE)*VLOOKUP('Calculos 2'!A195,'Huella Completa'!A97:G767,5,FALSE)*(IF(VLOOKUP('Calculos 2'!A195,'Huella Completa'!A97:G767,3,FALSE)="Tren",Tren,IF(VLOOKUP('Calculos 2'!A195,'Huella Completa'!A97:G767,3,FALSE)="Autobús",Autobús,IF(VLOOKUP('Calculos 2'!A195,'Huella Completa'!A97:G767,3,FALSE)="Avión",Avión,0))))</f>
        <v>#N/A</v>
      </c>
    </row>
    <row r="196" spans="1:2">
      <c r="A196" s="63" t="s">
        <v>595</v>
      </c>
      <c r="B196" s="63" t="e">
        <f>VLOOKUP('Calculos 2'!A196,'Huella Completa'!A98:G768,4,FALSE)*VLOOKUP('Calculos 2'!A196,'Huella Completa'!A98:G768,5,FALSE)*(IF(VLOOKUP('Calculos 2'!A196,'Huella Completa'!A98:G768,3,FALSE)="Tren",Tren,IF(VLOOKUP('Calculos 2'!A196,'Huella Completa'!A98:G768,3,FALSE)="Autobús",Autobús,IF(VLOOKUP('Calculos 2'!A196,'Huella Completa'!A98:G768,3,FALSE)="Avión",Avión,0))))</f>
        <v>#N/A</v>
      </c>
    </row>
    <row r="197" spans="1:2">
      <c r="A197" s="63" t="s">
        <v>596</v>
      </c>
      <c r="B197" s="63" t="e">
        <f>VLOOKUP('Calculos 2'!A197,'Huella Completa'!A99:G769,4,FALSE)*VLOOKUP('Calculos 2'!A197,'Huella Completa'!A99:G769,5,FALSE)*(IF(VLOOKUP('Calculos 2'!A197,'Huella Completa'!A99:G769,3,FALSE)="Tren",Tren,IF(VLOOKUP('Calculos 2'!A197,'Huella Completa'!A99:G769,3,FALSE)="Autobús",Autobús,IF(VLOOKUP('Calculos 2'!A197,'Huella Completa'!A99:G769,3,FALSE)="Avión",Avión,0))))</f>
        <v>#N/A</v>
      </c>
    </row>
    <row r="198" spans="1:2">
      <c r="A198" s="63" t="s">
        <v>597</v>
      </c>
      <c r="B198" s="63" t="e">
        <f>VLOOKUP('Calculos 2'!A198,'Huella Completa'!A100:G770,4,FALSE)*VLOOKUP('Calculos 2'!A198,'Huella Completa'!A100:G770,5,FALSE)*(IF(VLOOKUP('Calculos 2'!A198,'Huella Completa'!A100:G770,3,FALSE)="Tren",Tren,IF(VLOOKUP('Calculos 2'!A198,'Huella Completa'!A100:G770,3,FALSE)="Autobús",Autobús,IF(VLOOKUP('Calculos 2'!A198,'Huella Completa'!A100:G770,3,FALSE)="Avión",Avión,0))))</f>
        <v>#N/A</v>
      </c>
    </row>
    <row r="199" spans="1:2">
      <c r="A199" s="63" t="s">
        <v>598</v>
      </c>
      <c r="B199" s="63" t="e">
        <f>VLOOKUP('Calculos 2'!A199,'Huella Completa'!A101:G771,4,FALSE)*VLOOKUP('Calculos 2'!A199,'Huella Completa'!A101:G771,5,FALSE)*(IF(VLOOKUP('Calculos 2'!A199,'Huella Completa'!A101:G771,3,FALSE)="Tren",Tren,IF(VLOOKUP('Calculos 2'!A199,'Huella Completa'!A101:G771,3,FALSE)="Autobús",Autobús,IF(VLOOKUP('Calculos 2'!A199,'Huella Completa'!A101:G771,3,FALSE)="Avión",Avión,0))))</f>
        <v>#N/A</v>
      </c>
    </row>
    <row r="200" spans="1:2">
      <c r="A200" s="63" t="s">
        <v>599</v>
      </c>
      <c r="B200" s="63" t="e">
        <f>VLOOKUP('Calculos 2'!A200,'Huella Completa'!A102:G772,4,FALSE)*VLOOKUP('Calculos 2'!A200,'Huella Completa'!A102:G772,5,FALSE)*(IF(VLOOKUP('Calculos 2'!A200,'Huella Completa'!A102:G772,3,FALSE)="Tren",Tren,IF(VLOOKUP('Calculos 2'!A200,'Huella Completa'!A102:G772,3,FALSE)="Autobús",Autobús,IF(VLOOKUP('Calculos 2'!A200,'Huella Completa'!A102:G772,3,FALSE)="Avión",Avión,0))))</f>
        <v>#N/A</v>
      </c>
    </row>
    <row r="201" spans="1:2">
      <c r="A201" s="63" t="s">
        <v>600</v>
      </c>
      <c r="B201" s="63" t="e">
        <f>VLOOKUP('Calculos 2'!A201,'Huella Completa'!A103:G773,4,FALSE)*VLOOKUP('Calculos 2'!A201,'Huella Completa'!A103:G773,5,FALSE)*(IF(VLOOKUP('Calculos 2'!A201,'Huella Completa'!A103:G773,3,FALSE)="Tren",Tren,IF(VLOOKUP('Calculos 2'!A201,'Huella Completa'!A103:G773,3,FALSE)="Autobús",Autobús,IF(VLOOKUP('Calculos 2'!A201,'Huella Completa'!A103:G773,3,FALSE)="Avión",Avión,0))))</f>
        <v>#N/A</v>
      </c>
    </row>
    <row r="202" spans="1:2">
      <c r="A202" s="63" t="s">
        <v>601</v>
      </c>
      <c r="B202" s="63" t="e">
        <f>VLOOKUP('Calculos 2'!A202,'Huella Completa'!A104:G774,4,FALSE)*VLOOKUP('Calculos 2'!A202,'Huella Completa'!A104:G774,5,FALSE)*(IF(VLOOKUP('Calculos 2'!A202,'Huella Completa'!A104:G774,3,FALSE)="Tren",Tren,IF(VLOOKUP('Calculos 2'!A202,'Huella Completa'!A104:G774,3,FALSE)="Autobús",Autobús,IF(VLOOKUP('Calculos 2'!A202,'Huella Completa'!A104:G774,3,FALSE)="Avión",Avión,0))))</f>
        <v>#N/A</v>
      </c>
    </row>
    <row r="203" spans="1:2">
      <c r="A203" s="63" t="s">
        <v>602</v>
      </c>
      <c r="B203" s="63" t="e">
        <f>VLOOKUP('Calculos 2'!A203,'Huella Completa'!A106:G775,4,FALSE)*VLOOKUP('Calculos 2'!A203,'Huella Completa'!A106:G775,5,FALSE)*(IF(VLOOKUP('Calculos 2'!A203,'Huella Completa'!A106:G775,3,FALSE)="Tren",Tren,IF(VLOOKUP('Calculos 2'!A203,'Huella Completa'!A106:G775,3,FALSE)="Autobús",Autobús,IF(VLOOKUP('Calculos 2'!A203,'Huella Completa'!A106:G775,3,FALSE)="Avión",Avión,0))))</f>
        <v>#N/A</v>
      </c>
    </row>
    <row r="204" spans="1:2">
      <c r="A204" s="63" t="s">
        <v>603</v>
      </c>
      <c r="B204" s="63" t="e">
        <f>VLOOKUP('Calculos 2'!A204,'Huella Completa'!A107:G776,4,FALSE)*VLOOKUP('Calculos 2'!A204,'Huella Completa'!A107:G776,5,FALSE)*(IF(VLOOKUP('Calculos 2'!A204,'Huella Completa'!A107:G776,3,FALSE)="Tren",Tren,IF(VLOOKUP('Calculos 2'!A204,'Huella Completa'!A107:G776,3,FALSE)="Autobús",Autobús,IF(VLOOKUP('Calculos 2'!A204,'Huella Completa'!A107:G776,3,FALSE)="Avión",Avión,0))))</f>
        <v>#N/A</v>
      </c>
    </row>
    <row r="205" spans="1:2">
      <c r="A205" s="63" t="s">
        <v>604</v>
      </c>
      <c r="B205" s="63" t="e">
        <f>VLOOKUP('Calculos 2'!A205,'Huella Completa'!A108:G777,4,FALSE)*VLOOKUP('Calculos 2'!A205,'Huella Completa'!A108:G777,5,FALSE)*(IF(VLOOKUP('Calculos 2'!A205,'Huella Completa'!A108:G777,3,FALSE)="Tren",Tren,IF(VLOOKUP('Calculos 2'!A205,'Huella Completa'!A108:G777,3,FALSE)="Autobús",Autobús,IF(VLOOKUP('Calculos 2'!A205,'Huella Completa'!A108:G777,3,FALSE)="Avión",Avión,0))))</f>
        <v>#N/A</v>
      </c>
    </row>
    <row r="206" spans="1:2">
      <c r="A206" s="63" t="s">
        <v>605</v>
      </c>
      <c r="B206" s="63" t="e">
        <f>VLOOKUP('Calculos 2'!A206,'Huella Completa'!A109:G778,4,FALSE)*VLOOKUP('Calculos 2'!A206,'Huella Completa'!A109:G778,5,FALSE)*(IF(VLOOKUP('Calculos 2'!A206,'Huella Completa'!A109:G778,3,FALSE)="Tren",Tren,IF(VLOOKUP('Calculos 2'!A206,'Huella Completa'!A109:G778,3,FALSE)="Autobús",Autobús,IF(VLOOKUP('Calculos 2'!A206,'Huella Completa'!A109:G778,3,FALSE)="Avión",Avión,0))))</f>
        <v>#N/A</v>
      </c>
    </row>
    <row r="207" spans="1:2">
      <c r="A207" s="63" t="s">
        <v>606</v>
      </c>
      <c r="B207" s="63" t="e">
        <f>VLOOKUP('Calculos 2'!A207,'Huella Completa'!A110:G779,4,FALSE)*VLOOKUP('Calculos 2'!A207,'Huella Completa'!A110:G779,5,FALSE)*(IF(VLOOKUP('Calculos 2'!A207,'Huella Completa'!A110:G779,3,FALSE)="Tren",Tren,IF(VLOOKUP('Calculos 2'!A207,'Huella Completa'!A110:G779,3,FALSE)="Autobús",Autobús,IF(VLOOKUP('Calculos 2'!A207,'Huella Completa'!A110:G779,3,FALSE)="Avión",Avión,0))))</f>
        <v>#N/A</v>
      </c>
    </row>
    <row r="208" spans="1:2">
      <c r="A208" s="63" t="s">
        <v>607</v>
      </c>
      <c r="B208" s="63" t="e">
        <f>VLOOKUP('Calculos 2'!A208,'Huella Completa'!A111:G780,4,FALSE)*VLOOKUP('Calculos 2'!A208,'Huella Completa'!A111:G780,5,FALSE)*(IF(VLOOKUP('Calculos 2'!A208,'Huella Completa'!A111:G780,3,FALSE)="Tren",Tren,IF(VLOOKUP('Calculos 2'!A208,'Huella Completa'!A111:G780,3,FALSE)="Autobús",Autobús,IF(VLOOKUP('Calculos 2'!A208,'Huella Completa'!A111:G780,3,FALSE)="Avión",Avión,0))))</f>
        <v>#N/A</v>
      </c>
    </row>
    <row r="209" spans="1:2">
      <c r="A209" s="63" t="s">
        <v>608</v>
      </c>
      <c r="B209" s="63" t="e">
        <f>VLOOKUP('Calculos 2'!A209,'Huella Completa'!A112:G781,4,FALSE)*VLOOKUP('Calculos 2'!A209,'Huella Completa'!A112:G781,5,FALSE)*(IF(VLOOKUP('Calculos 2'!A209,'Huella Completa'!A112:G781,3,FALSE)="Tren",Tren,IF(VLOOKUP('Calculos 2'!A209,'Huella Completa'!A112:G781,3,FALSE)="Autobús",Autobús,IF(VLOOKUP('Calculos 2'!A209,'Huella Completa'!A112:G781,3,FALSE)="Avión",Avión,0))))</f>
        <v>#N/A</v>
      </c>
    </row>
    <row r="210" spans="1:2">
      <c r="A210" s="63" t="s">
        <v>609</v>
      </c>
      <c r="B210" s="63" t="e">
        <f>VLOOKUP('Calculos 2'!A210,'Huella Completa'!A113:G782,4,FALSE)*VLOOKUP('Calculos 2'!A210,'Huella Completa'!A113:G782,5,FALSE)*(IF(VLOOKUP('Calculos 2'!A210,'Huella Completa'!A113:G782,3,FALSE)="Tren",Tren,IF(VLOOKUP('Calculos 2'!A210,'Huella Completa'!A113:G782,3,FALSE)="Autobús",Autobús,IF(VLOOKUP('Calculos 2'!A210,'Huella Completa'!A113:G782,3,FALSE)="Avión",Avión,0))))</f>
        <v>#N/A</v>
      </c>
    </row>
    <row r="211" spans="1:2">
      <c r="A211" s="63" t="s">
        <v>610</v>
      </c>
      <c r="B211" s="63" t="e">
        <f>VLOOKUP('Calculos 2'!A211,'Huella Completa'!A114:G783,4,FALSE)*VLOOKUP('Calculos 2'!A211,'Huella Completa'!A114:G783,5,FALSE)*(IF(VLOOKUP('Calculos 2'!A211,'Huella Completa'!A114:G783,3,FALSE)="Tren",Tren,IF(VLOOKUP('Calculos 2'!A211,'Huella Completa'!A114:G783,3,FALSE)="Autobús",Autobús,IF(VLOOKUP('Calculos 2'!A211,'Huella Completa'!A114:G783,3,FALSE)="Avión",Avión,0))))</f>
        <v>#N/A</v>
      </c>
    </row>
    <row r="212" spans="1:2">
      <c r="A212" s="63" t="s">
        <v>611</v>
      </c>
      <c r="B212" s="63" t="e">
        <f>VLOOKUP('Calculos 2'!A212,'Huella Completa'!A115:G784,4,FALSE)*VLOOKUP('Calculos 2'!A212,'Huella Completa'!A115:G784,5,FALSE)*(IF(VLOOKUP('Calculos 2'!A212,'Huella Completa'!A115:G784,3,FALSE)="Tren",Tren,IF(VLOOKUP('Calculos 2'!A212,'Huella Completa'!A115:G784,3,FALSE)="Autobús",Autobús,IF(VLOOKUP('Calculos 2'!A212,'Huella Completa'!A115:G784,3,FALSE)="Avión",Avión,0))))</f>
        <v>#N/A</v>
      </c>
    </row>
    <row r="213" spans="1:2">
      <c r="A213" s="63" t="s">
        <v>612</v>
      </c>
      <c r="B213" s="63" t="e">
        <f>VLOOKUP('Calculos 2'!A213,'Huella Completa'!A116:G785,4,FALSE)*VLOOKUP('Calculos 2'!A213,'Huella Completa'!A116:G785,5,FALSE)*(IF(VLOOKUP('Calculos 2'!A213,'Huella Completa'!A116:G785,3,FALSE)="Tren",Tren,IF(VLOOKUP('Calculos 2'!A213,'Huella Completa'!A116:G785,3,FALSE)="Autobús",Autobús,IF(VLOOKUP('Calculos 2'!A213,'Huella Completa'!A116:G785,3,FALSE)="Avión",Avión,0))))</f>
        <v>#N/A</v>
      </c>
    </row>
    <row r="214" spans="1:2">
      <c r="A214" s="63" t="s">
        <v>613</v>
      </c>
      <c r="B214" s="63" t="e">
        <f>VLOOKUP('Calculos 2'!A214,'Huella Completa'!A117:G786,4,FALSE)*VLOOKUP('Calculos 2'!A214,'Huella Completa'!A117:G786,5,FALSE)*(IF(VLOOKUP('Calculos 2'!A214,'Huella Completa'!A117:G786,3,FALSE)="Tren",Tren,IF(VLOOKUP('Calculos 2'!A214,'Huella Completa'!A117:G786,3,FALSE)="Autobús",Autobús,IF(VLOOKUP('Calculos 2'!A214,'Huella Completa'!A117:G786,3,FALSE)="Avión",Avión,0))))</f>
        <v>#N/A</v>
      </c>
    </row>
    <row r="215" spans="1:2">
      <c r="A215" s="63" t="s">
        <v>614</v>
      </c>
      <c r="B215" s="63" t="e">
        <f>VLOOKUP('Calculos 2'!A215,'Huella Completa'!A118:G787,4,FALSE)*VLOOKUP('Calculos 2'!A215,'Huella Completa'!A118:G787,5,FALSE)*(IF(VLOOKUP('Calculos 2'!A215,'Huella Completa'!A118:G787,3,FALSE)="Tren",Tren,IF(VLOOKUP('Calculos 2'!A215,'Huella Completa'!A118:G787,3,FALSE)="Autobús",Autobús,IF(VLOOKUP('Calculos 2'!A215,'Huella Completa'!A118:G787,3,FALSE)="Avión",Avión,0))))</f>
        <v>#N/A</v>
      </c>
    </row>
    <row r="216" spans="1:2">
      <c r="A216" s="63" t="s">
        <v>615</v>
      </c>
      <c r="B216" s="63" t="e">
        <f>VLOOKUP('Calculos 2'!A216,'Huella Completa'!A119:G788,4,FALSE)*VLOOKUP('Calculos 2'!A216,'Huella Completa'!A119:G788,5,FALSE)*(IF(VLOOKUP('Calculos 2'!A216,'Huella Completa'!A119:G788,3,FALSE)="Tren",Tren,IF(VLOOKUP('Calculos 2'!A216,'Huella Completa'!A119:G788,3,FALSE)="Autobús",Autobús,IF(VLOOKUP('Calculos 2'!A216,'Huella Completa'!A119:G788,3,FALSE)="Avión",Avión,0))))</f>
        <v>#N/A</v>
      </c>
    </row>
    <row r="217" spans="1:2">
      <c r="A217" s="63" t="s">
        <v>616</v>
      </c>
      <c r="B217" s="63" t="e">
        <f>VLOOKUP('Calculos 2'!A217,'Huella Completa'!A120:G789,4,FALSE)*VLOOKUP('Calculos 2'!A217,'Huella Completa'!A120:G789,5,FALSE)*(IF(VLOOKUP('Calculos 2'!A217,'Huella Completa'!A120:G789,3,FALSE)="Tren",Tren,IF(VLOOKUP('Calculos 2'!A217,'Huella Completa'!A120:G789,3,FALSE)="Autobús",Autobús,IF(VLOOKUP('Calculos 2'!A217,'Huella Completa'!A120:G789,3,FALSE)="Avión",Avión,0))))</f>
        <v>#N/A</v>
      </c>
    </row>
    <row r="218" spans="1:2">
      <c r="A218" s="63" t="s">
        <v>617</v>
      </c>
      <c r="B218" s="63" t="e">
        <f>VLOOKUP('Calculos 2'!A218,'Huella Completa'!A121:G790,4,FALSE)*VLOOKUP('Calculos 2'!A218,'Huella Completa'!A121:G790,5,FALSE)*(IF(VLOOKUP('Calculos 2'!A218,'Huella Completa'!A121:G790,3,FALSE)="Tren",Tren,IF(VLOOKUP('Calculos 2'!A218,'Huella Completa'!A121:G790,3,FALSE)="Autobús",Autobús,IF(VLOOKUP('Calculos 2'!A218,'Huella Completa'!A121:G790,3,FALSE)="Avión",Avión,0))))</f>
        <v>#N/A</v>
      </c>
    </row>
    <row r="219" spans="1:2">
      <c r="A219" s="63" t="s">
        <v>618</v>
      </c>
      <c r="B219" s="63" t="e">
        <f>VLOOKUP('Calculos 2'!A219,'Huella Completa'!A122:G791,4,FALSE)*VLOOKUP('Calculos 2'!A219,'Huella Completa'!A122:G791,5,FALSE)*(IF(VLOOKUP('Calculos 2'!A219,'Huella Completa'!A122:G791,3,FALSE)="Tren",Tren,IF(VLOOKUP('Calculos 2'!A219,'Huella Completa'!A122:G791,3,FALSE)="Autobús",Autobús,IF(VLOOKUP('Calculos 2'!A219,'Huella Completa'!A122:G791,3,FALSE)="Avión",Avión,0))))</f>
        <v>#N/A</v>
      </c>
    </row>
    <row r="220" spans="1:2">
      <c r="A220" s="63" t="s">
        <v>619</v>
      </c>
      <c r="B220" s="63" t="e">
        <f>VLOOKUP('Calculos 2'!A220,'Huella Completa'!A123:G792,4,FALSE)*VLOOKUP('Calculos 2'!A220,'Huella Completa'!A123:G792,5,FALSE)*(IF(VLOOKUP('Calculos 2'!A220,'Huella Completa'!A123:G792,3,FALSE)="Tren",Tren,IF(VLOOKUP('Calculos 2'!A220,'Huella Completa'!A123:G792,3,FALSE)="Autobús",Autobús,IF(VLOOKUP('Calculos 2'!A220,'Huella Completa'!A123:G792,3,FALSE)="Avión",Avión,0))))</f>
        <v>#N/A</v>
      </c>
    </row>
    <row r="221" spans="1:2">
      <c r="A221" s="63" t="s">
        <v>620</v>
      </c>
      <c r="B221" s="63" t="e">
        <f>VLOOKUP('Calculos 2'!A221,'Huella Completa'!A124:G793,4,FALSE)*VLOOKUP('Calculos 2'!A221,'Huella Completa'!A124:G793,5,FALSE)*(IF(VLOOKUP('Calculos 2'!A221,'Huella Completa'!A124:G793,3,FALSE)="Tren",Tren,IF(VLOOKUP('Calculos 2'!A221,'Huella Completa'!A124:G793,3,FALSE)="Autobús",Autobús,IF(VLOOKUP('Calculos 2'!A221,'Huella Completa'!A124:G793,3,FALSE)="Avión",Avión,0))))</f>
        <v>#N/A</v>
      </c>
    </row>
    <row r="222" spans="1:2">
      <c r="A222" s="63" t="s">
        <v>621</v>
      </c>
      <c r="B222" s="63" t="e">
        <f>VLOOKUP('Calculos 2'!A222,'Huella Completa'!A125:G794,4,FALSE)*VLOOKUP('Calculos 2'!A222,'Huella Completa'!A125:G794,5,FALSE)*(IF(VLOOKUP('Calculos 2'!A222,'Huella Completa'!A125:G794,3,FALSE)="Tren",Tren,IF(VLOOKUP('Calculos 2'!A222,'Huella Completa'!A125:G794,3,FALSE)="Autobús",Autobús,IF(VLOOKUP('Calculos 2'!A222,'Huella Completa'!A125:G794,3,FALSE)="Avión",Avión,0))))</f>
        <v>#N/A</v>
      </c>
    </row>
    <row r="223" spans="1:2">
      <c r="A223" s="63" t="s">
        <v>622</v>
      </c>
      <c r="B223" s="63" t="e">
        <f>VLOOKUP('Calculos 2'!A223,'Huella Completa'!A126:G795,4,FALSE)*VLOOKUP('Calculos 2'!A223,'Huella Completa'!A126:G795,5,FALSE)*(IF(VLOOKUP('Calculos 2'!A223,'Huella Completa'!A126:G795,3,FALSE)="Tren",Tren,IF(VLOOKUP('Calculos 2'!A223,'Huella Completa'!A126:G795,3,FALSE)="Autobús",Autobús,IF(VLOOKUP('Calculos 2'!A223,'Huella Completa'!A126:G795,3,FALSE)="Avión",Avión,0))))</f>
        <v>#N/A</v>
      </c>
    </row>
    <row r="224" spans="1:2">
      <c r="A224" s="63" t="s">
        <v>623</v>
      </c>
      <c r="B224" s="63" t="e">
        <f>VLOOKUP('Calculos 2'!A224,'Huella Completa'!A127:G796,4,FALSE)*VLOOKUP('Calculos 2'!A224,'Huella Completa'!A127:G796,5,FALSE)*(IF(VLOOKUP('Calculos 2'!A224,'Huella Completa'!A127:G796,3,FALSE)="Tren",Tren,IF(VLOOKUP('Calculos 2'!A224,'Huella Completa'!A127:G796,3,FALSE)="Autobús",Autobús,IF(VLOOKUP('Calculos 2'!A224,'Huella Completa'!A127:G796,3,FALSE)="Avión",Avión,0))))</f>
        <v>#N/A</v>
      </c>
    </row>
    <row r="225" spans="1:26">
      <c r="A225" s="63" t="s">
        <v>624</v>
      </c>
      <c r="B225" s="63" t="e">
        <f>VLOOKUP('Calculos 2'!A225,'Huella Completa'!A128:G797,4,FALSE)*VLOOKUP('Calculos 2'!A225,'Huella Completa'!A128:G797,5,FALSE)*(IF(VLOOKUP('Calculos 2'!A225,'Huella Completa'!A128:G797,3,FALSE)="Tren",Tren,IF(VLOOKUP('Calculos 2'!A225,'Huella Completa'!A128:G797,3,FALSE)="Autobús",Autobús,IF(VLOOKUP('Calculos 2'!A225,'Huella Completa'!A128:G797,3,FALSE)="Avión",Avión,0))))</f>
        <v>#N/A</v>
      </c>
    </row>
    <row r="226" spans="1:26">
      <c r="A226" s="63" t="s">
        <v>625</v>
      </c>
      <c r="B226" s="63" t="e">
        <f>VLOOKUP('Calculos 2'!A226,'Huella Completa'!A129:G798,4,FALSE)*VLOOKUP('Calculos 2'!A226,'Huella Completa'!A129:G798,5,FALSE)*(IF(VLOOKUP('Calculos 2'!A226,'Huella Completa'!A129:G798,3,FALSE)="Tren",Tren,IF(VLOOKUP('Calculos 2'!A226,'Huella Completa'!A129:G798,3,FALSE)="Autobús",Autobús,IF(VLOOKUP('Calculos 2'!A226,'Huella Completa'!A129:G798,3,FALSE)="Avión",Avión,0))))</f>
        <v>#N/A</v>
      </c>
    </row>
    <row r="227" spans="1:26">
      <c r="A227" s="63" t="s">
        <v>626</v>
      </c>
      <c r="B227" s="63" t="e">
        <f>VLOOKUP('Calculos 2'!A227,'Huella Completa'!A130:G799,4,FALSE)*VLOOKUP('Calculos 2'!A227,'Huella Completa'!A130:G799,5,FALSE)*(IF(VLOOKUP('Calculos 2'!A227,'Huella Completa'!A130:G799,3,FALSE)="Tren",Tren,IF(VLOOKUP('Calculos 2'!A227,'Huella Completa'!A130:G799,3,FALSE)="Autobús",Autobús,IF(VLOOKUP('Calculos 2'!A227,'Huella Completa'!A130:G799,3,FALSE)="Avión",Avión,0))))</f>
        <v>#N/A</v>
      </c>
    </row>
    <row r="228" spans="1:26">
      <c r="A228" s="63" t="s">
        <v>627</v>
      </c>
      <c r="B228" s="63" t="e">
        <f>VLOOKUP('Calculos 2'!A228,'Huella Completa'!A131:G800,4,FALSE)*VLOOKUP('Calculos 2'!A228,'Huella Completa'!A131:G800,5,FALSE)*(IF(VLOOKUP('Calculos 2'!A228,'Huella Completa'!A131:G800,3,FALSE)="Tren",Tren,IF(VLOOKUP('Calculos 2'!A228,'Huella Completa'!A131:G800,3,FALSE)="Autobús",Autobús,IF(VLOOKUP('Calculos 2'!A228,'Huella Completa'!A131:G800,3,FALSE)="Avión",Avión,0))))</f>
        <v>#N/A</v>
      </c>
    </row>
    <row r="229" spans="1:26">
      <c r="A229" s="63" t="s">
        <v>628</v>
      </c>
      <c r="B229" s="63" t="e">
        <f>VLOOKUP('Calculos 2'!A229,'Huella Completa'!A132:G801,4,FALSE)*VLOOKUP('Calculos 2'!A229,'Huella Completa'!A132:G801,5,FALSE)*(IF(VLOOKUP('Calculos 2'!A229,'Huella Completa'!A132:G801,3,FALSE)="Tren",Tren,IF(VLOOKUP('Calculos 2'!A229,'Huella Completa'!A132:G801,3,FALSE)="Autobús",Autobús,IF(VLOOKUP('Calculos 2'!A229,'Huella Completa'!A132:G801,3,FALSE)="Avión",Avión,0))))</f>
        <v>#N/A</v>
      </c>
    </row>
    <row r="230" spans="1:26" s="2" customFormat="1">
      <c r="A230" s="97" t="s">
        <v>1033</v>
      </c>
      <c r="B230" s="97"/>
      <c r="C230" s="97" t="e">
        <f ca="1">_xlfn.AGGREGATE(9,6,B130:B229)</f>
        <v>#NAME?</v>
      </c>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2" spans="1:26">
      <c r="A232" s="63" t="s">
        <v>639</v>
      </c>
      <c r="B232" s="63" t="e">
        <f ca="1">VLOOKUP('Calculos 2'!A232,'Huella Completa'!A16:G702,4,FALSE)*VLOOKUP('Calculos 2'!A232,'Huella Completa'!A16:G702,4,FALSE)*Hotel*(_xlfn.IFS(Elec_hotel2="siempre",0.6,Elec_hotel2="normalmente",0.75,Elec_hotel2="a veces",0.9,Elec_hotel2="nunca",1))</f>
        <v>#NAME?</v>
      </c>
    </row>
    <row r="233" spans="1:26">
      <c r="A233" s="63" t="s">
        <v>640</v>
      </c>
      <c r="B233" s="63" t="e">
        <f ca="1">VLOOKUP('Calculos 2'!A233,'Huella Completa'!A17:G703,4,FALSE)*VLOOKUP('Calculos 2'!A233,'Huella Completa'!A17:G703,4,FALSE)*Hotel*(_xlfn.IFS(Elec_hotel2="siempre",0.6,Elec_hotel2="normalmente",0.75,Elec_hotel2="a veces",0.9,Elec_hotel2="nunca",1))</f>
        <v>#NAME?</v>
      </c>
    </row>
    <row r="234" spans="1:26">
      <c r="A234" s="63" t="s">
        <v>641</v>
      </c>
      <c r="B234" s="63" t="e">
        <f ca="1">VLOOKUP('Calculos 2'!A234,'Huella Completa'!A18:G704,4,FALSE)*VLOOKUP('Calculos 2'!A234,'Huella Completa'!A18:G704,4,FALSE)*Hotel*(_xlfn.IFS(Elec_hotel2="siempre",0.6,Elec_hotel2="normalmente",0.75,Elec_hotel2="a veces",0.9,Elec_hotel2="nunca",1))</f>
        <v>#NAME?</v>
      </c>
    </row>
    <row r="235" spans="1:26">
      <c r="A235" s="63" t="s">
        <v>642</v>
      </c>
      <c r="B235" s="63" t="e">
        <f ca="1">VLOOKUP('Calculos 2'!A235,'Huella Completa'!A19:G705,4,FALSE)*VLOOKUP('Calculos 2'!A235,'Huella Completa'!A19:G705,4,FALSE)*Hotel*(_xlfn.IFS(Elec_hotel2="siempre",0.6,Elec_hotel2="normalmente",0.75,Elec_hotel2="a veces",0.9,Elec_hotel2="nunca",1))</f>
        <v>#NAME?</v>
      </c>
    </row>
    <row r="236" spans="1:26">
      <c r="A236" s="63" t="s">
        <v>643</v>
      </c>
      <c r="B236" s="63" t="e">
        <f ca="1">VLOOKUP('Calculos 2'!A236,'Huella Completa'!A20:G706,4,FALSE)*VLOOKUP('Calculos 2'!A236,'Huella Completa'!A20:G706,4,FALSE)*Hotel*(_xlfn.IFS(Elec_hotel2="siempre",0.6,Elec_hotel2="normalmente",0.75,Elec_hotel2="a veces",0.9,Elec_hotel2="nunca",1))</f>
        <v>#NAME?</v>
      </c>
    </row>
    <row r="237" spans="1:26">
      <c r="A237" s="63" t="s">
        <v>644</v>
      </c>
      <c r="B237" s="63" t="e">
        <f ca="1">VLOOKUP('Calculos 2'!A237,'Huella Completa'!A21:G707,4,FALSE)*VLOOKUP('Calculos 2'!A237,'Huella Completa'!A21:G707,4,FALSE)*Hotel*(_xlfn.IFS(Elec_hotel2="siempre",0.6,Elec_hotel2="normalmente",0.75,Elec_hotel2="a veces",0.9,Elec_hotel2="nunca",1))</f>
        <v>#NAME?</v>
      </c>
    </row>
    <row r="238" spans="1:26">
      <c r="A238" s="63" t="s">
        <v>645</v>
      </c>
      <c r="B238" s="63" t="e">
        <f ca="1">VLOOKUP('Calculos 2'!A238,'Huella Completa'!A23:G708,4,FALSE)*VLOOKUP('Calculos 2'!A238,'Huella Completa'!A23:G708,4,FALSE)*Hotel*(_xlfn.IFS(Elec_hotel2="siempre",0.6,Elec_hotel2="normalmente",0.75,Elec_hotel2="a veces",0.9,Elec_hotel2="nunca",1))</f>
        <v>#NAME?</v>
      </c>
    </row>
    <row r="239" spans="1:26">
      <c r="A239" s="63" t="s">
        <v>646</v>
      </c>
      <c r="B239" s="63" t="e">
        <f ca="1">VLOOKUP('Calculos 2'!A239,'Huella Completa'!A24:G709,4,FALSE)*VLOOKUP('Calculos 2'!A239,'Huella Completa'!A24:G709,4,FALSE)*Hotel*(_xlfn.IFS(Elec_hotel2="siempre",0.6,Elec_hotel2="normalmente",0.75,Elec_hotel2="a veces",0.9,Elec_hotel2="nunca",1))</f>
        <v>#NAME?</v>
      </c>
    </row>
    <row r="240" spans="1:26">
      <c r="A240" s="63" t="s">
        <v>647</v>
      </c>
      <c r="B240" s="63" t="e">
        <f ca="1">VLOOKUP('Calculos 2'!A240,'Huella Completa'!A25:G710,4,FALSE)*VLOOKUP('Calculos 2'!A240,'Huella Completa'!A25:G710,4,FALSE)*Hotel*(_xlfn.IFS(Elec_hotel2="siempre",0.6,Elec_hotel2="normalmente",0.75,Elec_hotel2="a veces",0.9,Elec_hotel2="nunca",1))</f>
        <v>#NAME?</v>
      </c>
    </row>
    <row r="241" spans="1:2">
      <c r="A241" s="63" t="s">
        <v>648</v>
      </c>
      <c r="B241" s="63" t="e">
        <f ca="1">VLOOKUP('Calculos 2'!A241,'Huella Completa'!A26:G711,4,FALSE)*VLOOKUP('Calculos 2'!A241,'Huella Completa'!A26:G711,4,FALSE)*Hotel*(_xlfn.IFS(Elec_hotel2="siempre",0.6,Elec_hotel2="normalmente",0.75,Elec_hotel2="a veces",0.9,Elec_hotel2="nunca",1))</f>
        <v>#NAME?</v>
      </c>
    </row>
    <row r="242" spans="1:2">
      <c r="A242" s="63" t="s">
        <v>649</v>
      </c>
      <c r="B242" s="63" t="e">
        <f ca="1">VLOOKUP('Calculos 2'!A242,'Huella Completa'!A34:G712,4,FALSE)*VLOOKUP('Calculos 2'!A242,'Huella Completa'!A34:G712,4,FALSE)*Hotel*(_xlfn.IFS(Elec_hotel2="siempre",0.6,Elec_hotel2="normalmente",0.75,Elec_hotel2="a veces",0.9,Elec_hotel2="nunca",1))</f>
        <v>#N/A</v>
      </c>
    </row>
    <row r="243" spans="1:2">
      <c r="A243" s="63" t="s">
        <v>650</v>
      </c>
      <c r="B243" s="63" t="e">
        <f ca="1">VLOOKUP('Calculos 2'!A243,'Huella Completa'!A35:G713,4,FALSE)*VLOOKUP('Calculos 2'!A243,'Huella Completa'!A35:G713,4,FALSE)*Hotel*(_xlfn.IFS(Elec_hotel2="siempre",0.6,Elec_hotel2="normalmente",0.75,Elec_hotel2="a veces",0.9,Elec_hotel2="nunca",1))</f>
        <v>#N/A</v>
      </c>
    </row>
    <row r="244" spans="1:2">
      <c r="A244" s="63" t="s">
        <v>651</v>
      </c>
      <c r="B244" s="63" t="e">
        <f ca="1">VLOOKUP('Calculos 2'!A244,'Huella Completa'!A36:G714,4,FALSE)*VLOOKUP('Calculos 2'!A244,'Huella Completa'!A36:G714,4,FALSE)*Hotel*(_xlfn.IFS(Elec_hotel2="siempre",0.6,Elec_hotel2="normalmente",0.75,Elec_hotel2="a veces",0.9,Elec_hotel2="nunca",1))</f>
        <v>#N/A</v>
      </c>
    </row>
    <row r="245" spans="1:2">
      <c r="A245" s="63" t="s">
        <v>652</v>
      </c>
      <c r="B245" s="63" t="e">
        <f ca="1">VLOOKUP('Calculos 2'!A245,'Huella Completa'!A37:G715,4,FALSE)*VLOOKUP('Calculos 2'!A245,'Huella Completa'!A37:G715,4,FALSE)*Hotel*(_xlfn.IFS(Elec_hotel2="siempre",0.6,Elec_hotel2="normalmente",0.75,Elec_hotel2="a veces",0.9,Elec_hotel2="nunca",1))</f>
        <v>#N/A</v>
      </c>
    </row>
    <row r="246" spans="1:2">
      <c r="A246" s="63" t="s">
        <v>653</v>
      </c>
      <c r="B246" s="63" t="e">
        <f ca="1">VLOOKUP('Calculos 2'!A246,'Huella Completa'!A38:G716,4,FALSE)*VLOOKUP('Calculos 2'!A246,'Huella Completa'!A38:G716,4,FALSE)*Hotel*(_xlfn.IFS(Elec_hotel2="siempre",0.6,Elec_hotel2="normalmente",0.75,Elec_hotel2="a veces",0.9,Elec_hotel2="nunca",1))</f>
        <v>#N/A</v>
      </c>
    </row>
    <row r="247" spans="1:2">
      <c r="A247" s="63" t="s">
        <v>654</v>
      </c>
      <c r="B247" s="63" t="e">
        <f ca="1">VLOOKUP('Calculos 2'!A247,'Huella Completa'!A39:G717,4,FALSE)*VLOOKUP('Calculos 2'!A247,'Huella Completa'!A39:G717,4,FALSE)*Hotel*(_xlfn.IFS(Elec_hotel2="siempre",0.6,Elec_hotel2="normalmente",0.75,Elec_hotel2="a veces",0.9,Elec_hotel2="nunca",1))</f>
        <v>#N/A</v>
      </c>
    </row>
    <row r="248" spans="1:2">
      <c r="A248" s="63" t="s">
        <v>655</v>
      </c>
      <c r="B248" s="63" t="e">
        <f ca="1">VLOOKUP('Calculos 2'!A248,'Huella Completa'!A40:G718,4,FALSE)*VLOOKUP('Calculos 2'!A248,'Huella Completa'!A40:G718,4,FALSE)*Hotel*(_xlfn.IFS(Elec_hotel2="siempre",0.6,Elec_hotel2="normalmente",0.75,Elec_hotel2="a veces",0.9,Elec_hotel2="nunca",1))</f>
        <v>#N/A</v>
      </c>
    </row>
    <row r="249" spans="1:2">
      <c r="A249" s="63" t="s">
        <v>656</v>
      </c>
      <c r="B249" s="63" t="e">
        <f ca="1">VLOOKUP('Calculos 2'!A249,'Huella Completa'!A41:G719,4,FALSE)*VLOOKUP('Calculos 2'!A249,'Huella Completa'!A41:G719,4,FALSE)*Hotel*(_xlfn.IFS(Elec_hotel2="siempre",0.6,Elec_hotel2="normalmente",0.75,Elec_hotel2="a veces",0.9,Elec_hotel2="nunca",1))</f>
        <v>#N/A</v>
      </c>
    </row>
    <row r="250" spans="1:2">
      <c r="A250" s="63" t="s">
        <v>657</v>
      </c>
      <c r="B250" s="63" t="e">
        <f ca="1">VLOOKUP('Calculos 2'!A250,'Huella Completa'!A42:G720,4,FALSE)*VLOOKUP('Calculos 2'!A250,'Huella Completa'!A42:G720,4,FALSE)*Hotel*(_xlfn.IFS(Elec_hotel2="siempre",0.6,Elec_hotel2="normalmente",0.75,Elec_hotel2="a veces",0.9,Elec_hotel2="nunca",1))</f>
        <v>#N/A</v>
      </c>
    </row>
    <row r="251" spans="1:2">
      <c r="A251" s="63" t="s">
        <v>658</v>
      </c>
      <c r="B251" s="63" t="e">
        <f ca="1">VLOOKUP('Calculos 2'!A251,'Huella Completa'!A43:G721,4,FALSE)*VLOOKUP('Calculos 2'!A251,'Huella Completa'!A43:G721,4,FALSE)*Hotel*(_xlfn.IFS(Elec_hotel2="siempre",0.6,Elec_hotel2="normalmente",0.75,Elec_hotel2="a veces",0.9,Elec_hotel2="nunca",1))</f>
        <v>#N/A</v>
      </c>
    </row>
    <row r="252" spans="1:2">
      <c r="A252" s="63" t="s">
        <v>659</v>
      </c>
      <c r="B252" s="63" t="e">
        <f ca="1">VLOOKUP('Calculos 2'!A252,'Huella Completa'!A44:G722,4,FALSE)*VLOOKUP('Calculos 2'!A252,'Huella Completa'!A44:G722,4,FALSE)*Hotel*(_xlfn.IFS(Elec_hotel2="siempre",0.6,Elec_hotel2="normalmente",0.75,Elec_hotel2="a veces",0.9,Elec_hotel2="nunca",1))</f>
        <v>#N/A</v>
      </c>
    </row>
    <row r="253" spans="1:2">
      <c r="A253" s="63" t="s">
        <v>660</v>
      </c>
      <c r="B253" s="63" t="e">
        <f ca="1">VLOOKUP('Calculos 2'!A253,'Huella Completa'!A45:G723,4,FALSE)*VLOOKUP('Calculos 2'!A253,'Huella Completa'!A45:G723,4,FALSE)*Hotel*(_xlfn.IFS(Elec_hotel2="siempre",0.6,Elec_hotel2="normalmente",0.75,Elec_hotel2="a veces",0.9,Elec_hotel2="nunca",1))</f>
        <v>#N/A</v>
      </c>
    </row>
    <row r="254" spans="1:2">
      <c r="A254" s="63" t="s">
        <v>661</v>
      </c>
      <c r="B254" s="63" t="e">
        <f ca="1">VLOOKUP('Calculos 2'!A254,'Huella Completa'!A46:G724,4,FALSE)*VLOOKUP('Calculos 2'!A254,'Huella Completa'!A46:G724,4,FALSE)*Hotel*(_xlfn.IFS(Elec_hotel2="siempre",0.6,Elec_hotel2="normalmente",0.75,Elec_hotel2="a veces",0.9,Elec_hotel2="nunca",1))</f>
        <v>#N/A</v>
      </c>
    </row>
    <row r="255" spans="1:2">
      <c r="A255" s="63" t="s">
        <v>662</v>
      </c>
      <c r="B255" s="63" t="e">
        <f ca="1">VLOOKUP('Calculos 2'!A255,'Huella Completa'!A47:G725,4,FALSE)*VLOOKUP('Calculos 2'!A255,'Huella Completa'!A47:G725,4,FALSE)*Hotel*(_xlfn.IFS(Elec_hotel2="siempre",0.6,Elec_hotel2="normalmente",0.75,Elec_hotel2="a veces",0.9,Elec_hotel2="nunca",1))</f>
        <v>#N/A</v>
      </c>
    </row>
    <row r="256" spans="1:2">
      <c r="A256" s="63" t="s">
        <v>663</v>
      </c>
      <c r="B256" s="63" t="e">
        <f ca="1">VLOOKUP('Calculos 2'!A256,'Huella Completa'!A48:G726,4,FALSE)*VLOOKUP('Calculos 2'!A256,'Huella Completa'!A48:G726,4,FALSE)*Hotel*(_xlfn.IFS(Elec_hotel2="siempre",0.6,Elec_hotel2="normalmente",0.75,Elec_hotel2="a veces",0.9,Elec_hotel2="nunca",1))</f>
        <v>#N/A</v>
      </c>
    </row>
    <row r="257" spans="1:2">
      <c r="A257" s="63" t="s">
        <v>664</v>
      </c>
      <c r="B257" s="63" t="e">
        <f ca="1">VLOOKUP('Calculos 2'!A257,'Huella Completa'!A49:G727,4,FALSE)*VLOOKUP('Calculos 2'!A257,'Huella Completa'!A49:G727,4,FALSE)*Hotel*(_xlfn.IFS(Elec_hotel2="siempre",0.6,Elec_hotel2="normalmente",0.75,Elec_hotel2="a veces",0.9,Elec_hotel2="nunca",1))</f>
        <v>#N/A</v>
      </c>
    </row>
    <row r="258" spans="1:2">
      <c r="A258" s="63" t="s">
        <v>665</v>
      </c>
      <c r="B258" s="63" t="e">
        <f ca="1">VLOOKUP('Calculos 2'!A258,'Huella Completa'!A50:G728,4,FALSE)*VLOOKUP('Calculos 2'!A258,'Huella Completa'!A50:G728,4,FALSE)*Hotel*(_xlfn.IFS(Elec_hotel2="siempre",0.6,Elec_hotel2="normalmente",0.75,Elec_hotel2="a veces",0.9,Elec_hotel2="nunca",1))</f>
        <v>#N/A</v>
      </c>
    </row>
    <row r="259" spans="1:2">
      <c r="A259" s="63" t="s">
        <v>666</v>
      </c>
      <c r="B259" s="63" t="e">
        <f ca="1">VLOOKUP('Calculos 2'!A259,'Huella Completa'!A51:G729,4,FALSE)*VLOOKUP('Calculos 2'!A259,'Huella Completa'!A51:G729,4,FALSE)*Hotel*(_xlfn.IFS(Elec_hotel2="siempre",0.6,Elec_hotel2="normalmente",0.75,Elec_hotel2="a veces",0.9,Elec_hotel2="nunca",1))</f>
        <v>#N/A</v>
      </c>
    </row>
    <row r="260" spans="1:2">
      <c r="A260" s="63" t="s">
        <v>667</v>
      </c>
      <c r="B260" s="63" t="e">
        <f ca="1">VLOOKUP('Calculos 2'!A260,'Huella Completa'!A52:G730,4,FALSE)*VLOOKUP('Calculos 2'!A260,'Huella Completa'!A52:G730,4,FALSE)*Hotel*(_xlfn.IFS(Elec_hotel2="siempre",0.6,Elec_hotel2="normalmente",0.75,Elec_hotel2="a veces",0.9,Elec_hotel2="nunca",1))</f>
        <v>#N/A</v>
      </c>
    </row>
    <row r="261" spans="1:2">
      <c r="A261" s="63" t="s">
        <v>668</v>
      </c>
      <c r="B261" s="63" t="e">
        <f ca="1">VLOOKUP('Calculos 2'!A261,'Huella Completa'!A53:G731,4,FALSE)*VLOOKUP('Calculos 2'!A261,'Huella Completa'!A53:G731,4,FALSE)*Hotel*(_xlfn.IFS(Elec_hotel2="siempre",0.6,Elec_hotel2="normalmente",0.75,Elec_hotel2="a veces",0.9,Elec_hotel2="nunca",1))</f>
        <v>#N/A</v>
      </c>
    </row>
    <row r="262" spans="1:2">
      <c r="A262" s="63" t="s">
        <v>669</v>
      </c>
      <c r="B262" s="63" t="e">
        <f ca="1">VLOOKUP('Calculos 2'!A262,'Huella Completa'!A54:G732,4,FALSE)*VLOOKUP('Calculos 2'!A262,'Huella Completa'!A54:G732,4,FALSE)*Hotel*(_xlfn.IFS(Elec_hotel2="siempre",0.6,Elec_hotel2="normalmente",0.75,Elec_hotel2="a veces",0.9,Elec_hotel2="nunca",1))</f>
        <v>#N/A</v>
      </c>
    </row>
    <row r="263" spans="1:2">
      <c r="A263" s="63" t="s">
        <v>670</v>
      </c>
      <c r="B263" s="63" t="e">
        <f ca="1">VLOOKUP('Calculos 2'!A263,'Huella Completa'!A55:G733,4,FALSE)*VLOOKUP('Calculos 2'!A263,'Huella Completa'!A55:G733,4,FALSE)*Hotel*(_xlfn.IFS(Elec_hotel2="siempre",0.6,Elec_hotel2="normalmente",0.75,Elec_hotel2="a veces",0.9,Elec_hotel2="nunca",1))</f>
        <v>#N/A</v>
      </c>
    </row>
    <row r="264" spans="1:2">
      <c r="A264" s="63" t="s">
        <v>671</v>
      </c>
      <c r="B264" s="63" t="e">
        <f ca="1">VLOOKUP('Calculos 2'!A264,'Huella Completa'!A56:G734,4,FALSE)*VLOOKUP('Calculos 2'!A264,'Huella Completa'!A56:G734,4,FALSE)*Hotel*(_xlfn.IFS(Elec_hotel2="siempre",0.6,Elec_hotel2="normalmente",0.75,Elec_hotel2="a veces",0.9,Elec_hotel2="nunca",1))</f>
        <v>#N/A</v>
      </c>
    </row>
    <row r="265" spans="1:2">
      <c r="A265" s="63" t="s">
        <v>672</v>
      </c>
      <c r="B265" s="63" t="e">
        <f ca="1">VLOOKUP('Calculos 2'!A265,'Huella Completa'!A57:G735,4,FALSE)*VLOOKUP('Calculos 2'!A265,'Huella Completa'!A57:G735,4,FALSE)*Hotel*(_xlfn.IFS(Elec_hotel2="siempre",0.6,Elec_hotel2="normalmente",0.75,Elec_hotel2="a veces",0.9,Elec_hotel2="nunca",1))</f>
        <v>#N/A</v>
      </c>
    </row>
    <row r="266" spans="1:2">
      <c r="A266" s="63" t="s">
        <v>673</v>
      </c>
      <c r="B266" s="63" t="e">
        <f ca="1">VLOOKUP('Calculos 2'!A266,'Huella Completa'!A58:G736,4,FALSE)*VLOOKUP('Calculos 2'!A266,'Huella Completa'!A58:G736,4,FALSE)*Hotel*(_xlfn.IFS(Elec_hotel2="siempre",0.6,Elec_hotel2="normalmente",0.75,Elec_hotel2="a veces",0.9,Elec_hotel2="nunca",1))</f>
        <v>#N/A</v>
      </c>
    </row>
    <row r="267" spans="1:2">
      <c r="A267" s="63" t="s">
        <v>674</v>
      </c>
      <c r="B267" s="63" t="e">
        <f ca="1">VLOOKUP('Calculos 2'!A267,'Huella Completa'!A59:G737,4,FALSE)*VLOOKUP('Calculos 2'!A267,'Huella Completa'!A59:G737,4,FALSE)*Hotel*(_xlfn.IFS(Elec_hotel2="siempre",0.6,Elec_hotel2="normalmente",0.75,Elec_hotel2="a veces",0.9,Elec_hotel2="nunca",1))</f>
        <v>#N/A</v>
      </c>
    </row>
    <row r="268" spans="1:2">
      <c r="A268" s="63" t="s">
        <v>675</v>
      </c>
      <c r="B268" s="63" t="e">
        <f ca="1">VLOOKUP('Calculos 2'!A268,'Huella Completa'!A60:G738,4,FALSE)*VLOOKUP('Calculos 2'!A268,'Huella Completa'!A60:G738,4,FALSE)*Hotel*(_xlfn.IFS(Elec_hotel2="siempre",0.6,Elec_hotel2="normalmente",0.75,Elec_hotel2="a veces",0.9,Elec_hotel2="nunca",1))</f>
        <v>#N/A</v>
      </c>
    </row>
    <row r="269" spans="1:2">
      <c r="A269" s="63" t="s">
        <v>676</v>
      </c>
      <c r="B269" s="63" t="e">
        <f ca="1">VLOOKUP('Calculos 2'!A269,'Huella Completa'!A61:G739,4,FALSE)*VLOOKUP('Calculos 2'!A269,'Huella Completa'!A61:G739,4,FALSE)*Hotel*(_xlfn.IFS(Elec_hotel2="siempre",0.6,Elec_hotel2="normalmente",0.75,Elec_hotel2="a veces",0.9,Elec_hotel2="nunca",1))</f>
        <v>#N/A</v>
      </c>
    </row>
    <row r="270" spans="1:2">
      <c r="A270" s="63" t="s">
        <v>677</v>
      </c>
      <c r="B270" s="63" t="e">
        <f ca="1">VLOOKUP('Calculos 2'!A270,'Huella Completa'!A62:G740,4,FALSE)*VLOOKUP('Calculos 2'!A270,'Huella Completa'!A62:G740,4,FALSE)*Hotel*(_xlfn.IFS(Elec_hotel2="siempre",0.6,Elec_hotel2="normalmente",0.75,Elec_hotel2="a veces",0.9,Elec_hotel2="nunca",1))</f>
        <v>#N/A</v>
      </c>
    </row>
    <row r="271" spans="1:2">
      <c r="A271" s="63" t="s">
        <v>678</v>
      </c>
      <c r="B271" s="63" t="e">
        <f ca="1">VLOOKUP('Calculos 2'!A271,'Huella Completa'!A63:G741,4,FALSE)*VLOOKUP('Calculos 2'!A271,'Huella Completa'!A63:G741,4,FALSE)*Hotel*(_xlfn.IFS(Elec_hotel2="siempre",0.6,Elec_hotel2="normalmente",0.75,Elec_hotel2="a veces",0.9,Elec_hotel2="nunca",1))</f>
        <v>#N/A</v>
      </c>
    </row>
    <row r="272" spans="1:2">
      <c r="A272" s="63" t="s">
        <v>679</v>
      </c>
      <c r="B272" s="63" t="e">
        <f ca="1">VLOOKUP('Calculos 2'!A272,'Huella Completa'!A64:G742,4,FALSE)*VLOOKUP('Calculos 2'!A272,'Huella Completa'!A64:G742,4,FALSE)*Hotel*(_xlfn.IFS(Elec_hotel2="siempre",0.6,Elec_hotel2="normalmente",0.75,Elec_hotel2="a veces",0.9,Elec_hotel2="nunca",1))</f>
        <v>#N/A</v>
      </c>
    </row>
    <row r="273" spans="1:2">
      <c r="A273" s="63" t="s">
        <v>680</v>
      </c>
      <c r="B273" s="63" t="e">
        <f ca="1">VLOOKUP('Calculos 2'!A273,'Huella Completa'!A65:G743,4,FALSE)*VLOOKUP('Calculos 2'!A273,'Huella Completa'!A65:G743,4,FALSE)*Hotel*(_xlfn.IFS(Elec_hotel2="siempre",0.6,Elec_hotel2="normalmente",0.75,Elec_hotel2="a veces",0.9,Elec_hotel2="nunca",1))</f>
        <v>#N/A</v>
      </c>
    </row>
    <row r="274" spans="1:2">
      <c r="A274" s="63" t="s">
        <v>681</v>
      </c>
      <c r="B274" s="63" t="e">
        <f ca="1">VLOOKUP('Calculos 2'!A274,'Huella Completa'!A66:G744,4,FALSE)*VLOOKUP('Calculos 2'!A274,'Huella Completa'!A66:G744,4,FALSE)*Hotel*(_xlfn.IFS(Elec_hotel2="siempre",0.6,Elec_hotel2="normalmente",0.75,Elec_hotel2="a veces",0.9,Elec_hotel2="nunca",1))</f>
        <v>#N/A</v>
      </c>
    </row>
    <row r="275" spans="1:2">
      <c r="A275" s="63" t="s">
        <v>682</v>
      </c>
      <c r="B275" s="63" t="e">
        <f ca="1">VLOOKUP('Calculos 2'!A275,'Huella Completa'!A67:G745,4,FALSE)*VLOOKUP('Calculos 2'!A275,'Huella Completa'!A67:G745,4,FALSE)*Hotel*(_xlfn.IFS(Elec_hotel2="siempre",0.6,Elec_hotel2="normalmente",0.75,Elec_hotel2="a veces",0.9,Elec_hotel2="nunca",1))</f>
        <v>#N/A</v>
      </c>
    </row>
    <row r="276" spans="1:2">
      <c r="A276" s="63" t="s">
        <v>683</v>
      </c>
      <c r="B276" s="63" t="e">
        <f ca="1">VLOOKUP('Calculos 2'!A276,'Huella Completa'!A68:G746,4,FALSE)*VLOOKUP('Calculos 2'!A276,'Huella Completa'!A68:G746,4,FALSE)*Hotel*(_xlfn.IFS(Elec_hotel2="siempre",0.6,Elec_hotel2="normalmente",0.75,Elec_hotel2="a veces",0.9,Elec_hotel2="nunca",1))</f>
        <v>#N/A</v>
      </c>
    </row>
    <row r="277" spans="1:2">
      <c r="A277" s="63" t="s">
        <v>684</v>
      </c>
      <c r="B277" s="63" t="e">
        <f ca="1">VLOOKUP('Calculos 2'!A277,'Huella Completa'!A69:G747,4,FALSE)*VLOOKUP('Calculos 2'!A277,'Huella Completa'!A69:G747,4,FALSE)*Hotel*(_xlfn.IFS(Elec_hotel2="siempre",0.6,Elec_hotel2="normalmente",0.75,Elec_hotel2="a veces",0.9,Elec_hotel2="nunca",1))</f>
        <v>#N/A</v>
      </c>
    </row>
    <row r="278" spans="1:2">
      <c r="A278" s="63" t="s">
        <v>685</v>
      </c>
      <c r="B278" s="63" t="e">
        <f ca="1">VLOOKUP('Calculos 2'!A278,'Huella Completa'!A70:G748,4,FALSE)*VLOOKUP('Calculos 2'!A278,'Huella Completa'!A70:G748,4,FALSE)*Hotel*(_xlfn.IFS(Elec_hotel2="siempre",0.6,Elec_hotel2="normalmente",0.75,Elec_hotel2="a veces",0.9,Elec_hotel2="nunca",1))</f>
        <v>#N/A</v>
      </c>
    </row>
    <row r="279" spans="1:2">
      <c r="A279" s="63" t="s">
        <v>686</v>
      </c>
      <c r="B279" s="63" t="e">
        <f ca="1">VLOOKUP('Calculos 2'!A279,'Huella Completa'!A71:G749,4,FALSE)*VLOOKUP('Calculos 2'!A279,'Huella Completa'!A71:G749,4,FALSE)*Hotel*(_xlfn.IFS(Elec_hotel2="siempre",0.6,Elec_hotel2="normalmente",0.75,Elec_hotel2="a veces",0.9,Elec_hotel2="nunca",1))</f>
        <v>#N/A</v>
      </c>
    </row>
    <row r="280" spans="1:2">
      <c r="A280" s="63" t="s">
        <v>687</v>
      </c>
      <c r="B280" s="63" t="e">
        <f ca="1">VLOOKUP('Calculos 2'!A280,'Huella Completa'!A72:G750,4,FALSE)*VLOOKUP('Calculos 2'!A280,'Huella Completa'!A72:G750,4,FALSE)*Hotel*(_xlfn.IFS(Elec_hotel2="siempre",0.6,Elec_hotel2="normalmente",0.75,Elec_hotel2="a veces",0.9,Elec_hotel2="nunca",1))</f>
        <v>#N/A</v>
      </c>
    </row>
    <row r="281" spans="1:2">
      <c r="A281" s="63" t="s">
        <v>688</v>
      </c>
      <c r="B281" s="63" t="e">
        <f ca="1">VLOOKUP('Calculos 2'!A281,'Huella Completa'!A74:G751,4,FALSE)*VLOOKUP('Calculos 2'!A281,'Huella Completa'!A74:G751,4,FALSE)*Hotel*(_xlfn.IFS(Elec_hotel2="siempre",0.6,Elec_hotel2="normalmente",0.75,Elec_hotel2="a veces",0.9,Elec_hotel2="nunca",1))</f>
        <v>#N/A</v>
      </c>
    </row>
    <row r="282" spans="1:2">
      <c r="A282" s="63" t="s">
        <v>689</v>
      </c>
      <c r="B282" s="63" t="e">
        <f ca="1">VLOOKUP('Calculos 2'!A282,'Huella Completa'!A75:G752,4,FALSE)*VLOOKUP('Calculos 2'!A282,'Huella Completa'!A75:G752,4,FALSE)*Hotel*(_xlfn.IFS(Elec_hotel2="siempre",0.6,Elec_hotel2="normalmente",0.75,Elec_hotel2="a veces",0.9,Elec_hotel2="nunca",1))</f>
        <v>#N/A</v>
      </c>
    </row>
    <row r="283" spans="1:2">
      <c r="A283" s="63" t="s">
        <v>690</v>
      </c>
      <c r="B283" s="63" t="e">
        <f ca="1">VLOOKUP('Calculos 2'!A283,'Huella Completa'!A76:G753,4,FALSE)*VLOOKUP('Calculos 2'!A283,'Huella Completa'!A76:G753,4,FALSE)*Hotel*(_xlfn.IFS(Elec_hotel2="siempre",0.6,Elec_hotel2="normalmente",0.75,Elec_hotel2="a veces",0.9,Elec_hotel2="nunca",1))</f>
        <v>#N/A</v>
      </c>
    </row>
    <row r="284" spans="1:2">
      <c r="A284" s="63" t="s">
        <v>691</v>
      </c>
      <c r="B284" s="63" t="e">
        <f ca="1">VLOOKUP('Calculos 2'!A284,'Huella Completa'!A77:G754,4,FALSE)*VLOOKUP('Calculos 2'!A284,'Huella Completa'!A77:G754,4,FALSE)*Hotel*(_xlfn.IFS(Elec_hotel2="siempre",0.6,Elec_hotel2="normalmente",0.75,Elec_hotel2="a veces",0.9,Elec_hotel2="nunca",1))</f>
        <v>#N/A</v>
      </c>
    </row>
    <row r="285" spans="1:2">
      <c r="A285" s="63" t="s">
        <v>692</v>
      </c>
      <c r="B285" s="63" t="e">
        <f ca="1">VLOOKUP('Calculos 2'!A285,'Huella Completa'!A84:G755,4,FALSE)*VLOOKUP('Calculos 2'!A285,'Huella Completa'!A84:G755,4,FALSE)*Hotel*(_xlfn.IFS(Elec_hotel2="siempre",0.6,Elec_hotel2="normalmente",0.75,Elec_hotel2="a veces",0.9,Elec_hotel2="nunca",1))</f>
        <v>#N/A</v>
      </c>
    </row>
    <row r="286" spans="1:2">
      <c r="A286" s="63" t="s">
        <v>693</v>
      </c>
      <c r="B286" s="63" t="e">
        <f ca="1">VLOOKUP('Calculos 2'!A286,'Huella Completa'!A86:G756,4,FALSE)*VLOOKUP('Calculos 2'!A286,'Huella Completa'!A86:G756,4,FALSE)*Hotel*(_xlfn.IFS(Elec_hotel2="siempre",0.6,Elec_hotel2="normalmente",0.75,Elec_hotel2="a veces",0.9,Elec_hotel2="nunca",1))</f>
        <v>#N/A</v>
      </c>
    </row>
    <row r="287" spans="1:2">
      <c r="A287" s="63" t="s">
        <v>694</v>
      </c>
      <c r="B287" s="63" t="e">
        <f ca="1">VLOOKUP('Calculos 2'!A287,'Huella Completa'!A87:G757,4,FALSE)*VLOOKUP('Calculos 2'!A287,'Huella Completa'!A87:G757,4,FALSE)*Hotel*(_xlfn.IFS(Elec_hotel2="siempre",0.6,Elec_hotel2="normalmente",0.75,Elec_hotel2="a veces",0.9,Elec_hotel2="nunca",1))</f>
        <v>#N/A</v>
      </c>
    </row>
    <row r="288" spans="1:2">
      <c r="A288" s="63" t="s">
        <v>695</v>
      </c>
      <c r="B288" s="63" t="e">
        <f ca="1">VLOOKUP('Calculos 2'!A288,'Huella Completa'!A88:G758,4,FALSE)*VLOOKUP('Calculos 2'!A288,'Huella Completa'!A88:G758,4,FALSE)*Hotel*(_xlfn.IFS(Elec_hotel2="siempre",0.6,Elec_hotel2="normalmente",0.75,Elec_hotel2="a veces",0.9,Elec_hotel2="nunca",1))</f>
        <v>#N/A</v>
      </c>
    </row>
    <row r="289" spans="1:2">
      <c r="A289" s="63" t="s">
        <v>696</v>
      </c>
      <c r="B289" s="63" t="e">
        <f ca="1">VLOOKUP('Calculos 2'!A289,'Huella Completa'!A89:G759,4,FALSE)*VLOOKUP('Calculos 2'!A289,'Huella Completa'!A89:G759,4,FALSE)*Hotel*(_xlfn.IFS(Elec_hotel2="siempre",0.6,Elec_hotel2="normalmente",0.75,Elec_hotel2="a veces",0.9,Elec_hotel2="nunca",1))</f>
        <v>#N/A</v>
      </c>
    </row>
    <row r="290" spans="1:2">
      <c r="A290" s="63" t="s">
        <v>697</v>
      </c>
      <c r="B290" s="63" t="e">
        <f ca="1">VLOOKUP('Calculos 2'!A290,'Huella Completa'!A90:G760,4,FALSE)*VLOOKUP('Calculos 2'!A290,'Huella Completa'!A90:G760,4,FALSE)*Hotel*(_xlfn.IFS(Elec_hotel2="siempre",0.6,Elec_hotel2="normalmente",0.75,Elec_hotel2="a veces",0.9,Elec_hotel2="nunca",1))</f>
        <v>#N/A</v>
      </c>
    </row>
    <row r="291" spans="1:2">
      <c r="A291" s="63" t="s">
        <v>698</v>
      </c>
      <c r="B291" s="63" t="e">
        <f ca="1">VLOOKUP('Calculos 2'!A291,'Huella Completa'!A91:G761,4,FALSE)*VLOOKUP('Calculos 2'!A291,'Huella Completa'!A91:G761,4,FALSE)*Hotel*(_xlfn.IFS(Elec_hotel2="siempre",0.6,Elec_hotel2="normalmente",0.75,Elec_hotel2="a veces",0.9,Elec_hotel2="nunca",1))</f>
        <v>#N/A</v>
      </c>
    </row>
    <row r="292" spans="1:2">
      <c r="A292" s="63" t="s">
        <v>699</v>
      </c>
      <c r="B292" s="63" t="e">
        <f ca="1">VLOOKUP('Calculos 2'!A292,'Huella Completa'!A92:G762,4,FALSE)*VLOOKUP('Calculos 2'!A292,'Huella Completa'!A92:G762,4,FALSE)*Hotel*(_xlfn.IFS(Elec_hotel2="siempre",0.6,Elec_hotel2="normalmente",0.75,Elec_hotel2="a veces",0.9,Elec_hotel2="nunca",1))</f>
        <v>#N/A</v>
      </c>
    </row>
    <row r="293" spans="1:2">
      <c r="A293" s="63" t="s">
        <v>700</v>
      </c>
      <c r="B293" s="63" t="e">
        <f ca="1">VLOOKUP('Calculos 2'!A293,'Huella Completa'!A93:G763,4,FALSE)*VLOOKUP('Calculos 2'!A293,'Huella Completa'!A93:G763,4,FALSE)*Hotel*(_xlfn.IFS(Elec_hotel2="siempre",0.6,Elec_hotel2="normalmente",0.75,Elec_hotel2="a veces",0.9,Elec_hotel2="nunca",1))</f>
        <v>#N/A</v>
      </c>
    </row>
    <row r="294" spans="1:2">
      <c r="A294" s="63" t="s">
        <v>701</v>
      </c>
      <c r="B294" s="63" t="e">
        <f ca="1">VLOOKUP('Calculos 2'!A294,'Huella Completa'!A94:G764,4,FALSE)*VLOOKUP('Calculos 2'!A294,'Huella Completa'!A94:G764,4,FALSE)*Hotel*(_xlfn.IFS(Elec_hotel2="siempre",0.6,Elec_hotel2="normalmente",0.75,Elec_hotel2="a veces",0.9,Elec_hotel2="nunca",1))</f>
        <v>#N/A</v>
      </c>
    </row>
    <row r="295" spans="1:2">
      <c r="A295" s="63" t="s">
        <v>702</v>
      </c>
      <c r="B295" s="63" t="e">
        <f ca="1">VLOOKUP('Calculos 2'!A295,'Huella Completa'!A95:G765,4,FALSE)*VLOOKUP('Calculos 2'!A295,'Huella Completa'!A95:G765,4,FALSE)*Hotel*(_xlfn.IFS(Elec_hotel2="siempre",0.6,Elec_hotel2="normalmente",0.75,Elec_hotel2="a veces",0.9,Elec_hotel2="nunca",1))</f>
        <v>#N/A</v>
      </c>
    </row>
    <row r="296" spans="1:2">
      <c r="A296" s="63" t="s">
        <v>703</v>
      </c>
      <c r="B296" s="63" t="e">
        <f ca="1">VLOOKUP('Calculos 2'!A296,'Huella Completa'!A96:G766,4,FALSE)*VLOOKUP('Calculos 2'!A296,'Huella Completa'!A96:G766,4,FALSE)*Hotel*(_xlfn.IFS(Elec_hotel2="siempre",0.6,Elec_hotel2="normalmente",0.75,Elec_hotel2="a veces",0.9,Elec_hotel2="nunca",1))</f>
        <v>#N/A</v>
      </c>
    </row>
    <row r="297" spans="1:2">
      <c r="A297" s="63" t="s">
        <v>704</v>
      </c>
      <c r="B297" s="63" t="e">
        <f ca="1">VLOOKUP('Calculos 2'!A297,'Huella Completa'!A97:G767,4,FALSE)*VLOOKUP('Calculos 2'!A297,'Huella Completa'!A97:G767,4,FALSE)*Hotel*(_xlfn.IFS(Elec_hotel2="siempre",0.6,Elec_hotel2="normalmente",0.75,Elec_hotel2="a veces",0.9,Elec_hotel2="nunca",1))</f>
        <v>#N/A</v>
      </c>
    </row>
    <row r="298" spans="1:2">
      <c r="A298" s="63" t="s">
        <v>705</v>
      </c>
      <c r="B298" s="63" t="e">
        <f ca="1">VLOOKUP('Calculos 2'!A298,'Huella Completa'!A98:G768,4,FALSE)*VLOOKUP('Calculos 2'!A298,'Huella Completa'!A98:G768,4,FALSE)*Hotel*(_xlfn.IFS(Elec_hotel2="siempre",0.6,Elec_hotel2="normalmente",0.75,Elec_hotel2="a veces",0.9,Elec_hotel2="nunca",1))</f>
        <v>#N/A</v>
      </c>
    </row>
    <row r="299" spans="1:2">
      <c r="A299" s="63" t="s">
        <v>706</v>
      </c>
      <c r="B299" s="63" t="e">
        <f ca="1">VLOOKUP('Calculos 2'!A299,'Huella Completa'!A99:G769,4,FALSE)*VLOOKUP('Calculos 2'!A299,'Huella Completa'!A99:G769,4,FALSE)*Hotel*(_xlfn.IFS(Elec_hotel2="siempre",0.6,Elec_hotel2="normalmente",0.75,Elec_hotel2="a veces",0.9,Elec_hotel2="nunca",1))</f>
        <v>#N/A</v>
      </c>
    </row>
    <row r="300" spans="1:2">
      <c r="A300" s="63" t="s">
        <v>707</v>
      </c>
      <c r="B300" s="63" t="e">
        <f ca="1">VLOOKUP('Calculos 2'!A300,'Huella Completa'!A100:G770,4,FALSE)*VLOOKUP('Calculos 2'!A300,'Huella Completa'!A100:G770,4,FALSE)*Hotel*(_xlfn.IFS(Elec_hotel2="siempre",0.6,Elec_hotel2="normalmente",0.75,Elec_hotel2="a veces",0.9,Elec_hotel2="nunca",1))</f>
        <v>#N/A</v>
      </c>
    </row>
    <row r="301" spans="1:2">
      <c r="A301" s="63" t="s">
        <v>708</v>
      </c>
      <c r="B301" s="63" t="e">
        <f ca="1">VLOOKUP('Calculos 2'!A301,'Huella Completa'!A101:G771,4,FALSE)*VLOOKUP('Calculos 2'!A301,'Huella Completa'!A101:G771,4,FALSE)*Hotel*(_xlfn.IFS(Elec_hotel2="siempre",0.6,Elec_hotel2="normalmente",0.75,Elec_hotel2="a veces",0.9,Elec_hotel2="nunca",1))</f>
        <v>#N/A</v>
      </c>
    </row>
    <row r="302" spans="1:2">
      <c r="A302" s="63" t="s">
        <v>709</v>
      </c>
      <c r="B302" s="63" t="e">
        <f ca="1">VLOOKUP('Calculos 2'!A302,'Huella Completa'!A102:G772,4,FALSE)*VLOOKUP('Calculos 2'!A302,'Huella Completa'!A102:G772,4,FALSE)*Hotel*(_xlfn.IFS(Elec_hotel2="siempre",0.6,Elec_hotel2="normalmente",0.75,Elec_hotel2="a veces",0.9,Elec_hotel2="nunca",1))</f>
        <v>#N/A</v>
      </c>
    </row>
    <row r="303" spans="1:2">
      <c r="A303" s="63" t="s">
        <v>710</v>
      </c>
      <c r="B303" s="63" t="e">
        <f ca="1">VLOOKUP('Calculos 2'!A303,'Huella Completa'!A103:G773,4,FALSE)*VLOOKUP('Calculos 2'!A303,'Huella Completa'!A103:G773,4,FALSE)*Hotel*(_xlfn.IFS(Elec_hotel2="siempre",0.6,Elec_hotel2="normalmente",0.75,Elec_hotel2="a veces",0.9,Elec_hotel2="nunca",1))</f>
        <v>#N/A</v>
      </c>
    </row>
    <row r="304" spans="1:2">
      <c r="A304" s="63" t="s">
        <v>711</v>
      </c>
      <c r="B304" s="63" t="e">
        <f ca="1">VLOOKUP('Calculos 2'!A304,'Huella Completa'!A104:G774,4,FALSE)*VLOOKUP('Calculos 2'!A304,'Huella Completa'!A104:G774,4,FALSE)*Hotel*(_xlfn.IFS(Elec_hotel2="siempre",0.6,Elec_hotel2="normalmente",0.75,Elec_hotel2="a veces",0.9,Elec_hotel2="nunca",1))</f>
        <v>#N/A</v>
      </c>
    </row>
    <row r="305" spans="1:2">
      <c r="A305" s="63" t="s">
        <v>712</v>
      </c>
      <c r="B305" s="63" t="e">
        <f ca="1">VLOOKUP('Calculos 2'!A305,'Huella Completa'!A106:G775,4,FALSE)*VLOOKUP('Calculos 2'!A305,'Huella Completa'!A106:G775,4,FALSE)*Hotel*(_xlfn.IFS(Elec_hotel2="siempre",0.6,Elec_hotel2="normalmente",0.75,Elec_hotel2="a veces",0.9,Elec_hotel2="nunca",1))</f>
        <v>#N/A</v>
      </c>
    </row>
    <row r="306" spans="1:2">
      <c r="A306" s="63" t="s">
        <v>713</v>
      </c>
      <c r="B306" s="63" t="e">
        <f ca="1">VLOOKUP('Calculos 2'!A306,'Huella Completa'!A107:G776,4,FALSE)*VLOOKUP('Calculos 2'!A306,'Huella Completa'!A107:G776,4,FALSE)*Hotel*(_xlfn.IFS(Elec_hotel2="siempre",0.6,Elec_hotel2="normalmente",0.75,Elec_hotel2="a veces",0.9,Elec_hotel2="nunca",1))</f>
        <v>#N/A</v>
      </c>
    </row>
    <row r="307" spans="1:2">
      <c r="A307" s="63" t="s">
        <v>714</v>
      </c>
      <c r="B307" s="63" t="e">
        <f ca="1">VLOOKUP('Calculos 2'!A307,'Huella Completa'!A108:G777,4,FALSE)*VLOOKUP('Calculos 2'!A307,'Huella Completa'!A108:G777,4,FALSE)*Hotel*(_xlfn.IFS(Elec_hotel2="siempre",0.6,Elec_hotel2="normalmente",0.75,Elec_hotel2="a veces",0.9,Elec_hotel2="nunca",1))</f>
        <v>#N/A</v>
      </c>
    </row>
    <row r="308" spans="1:2">
      <c r="A308" s="63" t="s">
        <v>715</v>
      </c>
      <c r="B308" s="63" t="e">
        <f ca="1">VLOOKUP('Calculos 2'!A308,'Huella Completa'!A109:G778,4,FALSE)*VLOOKUP('Calculos 2'!A308,'Huella Completa'!A109:G778,4,FALSE)*Hotel*(_xlfn.IFS(Elec_hotel2="siempre",0.6,Elec_hotel2="normalmente",0.75,Elec_hotel2="a veces",0.9,Elec_hotel2="nunca",1))</f>
        <v>#N/A</v>
      </c>
    </row>
    <row r="309" spans="1:2">
      <c r="A309" s="63" t="s">
        <v>716</v>
      </c>
      <c r="B309" s="63" t="e">
        <f ca="1">VLOOKUP('Calculos 2'!A309,'Huella Completa'!A110:G779,4,FALSE)*VLOOKUP('Calculos 2'!A309,'Huella Completa'!A110:G779,4,FALSE)*Hotel*(_xlfn.IFS(Elec_hotel2="siempre",0.6,Elec_hotel2="normalmente",0.75,Elec_hotel2="a veces",0.9,Elec_hotel2="nunca",1))</f>
        <v>#N/A</v>
      </c>
    </row>
    <row r="310" spans="1:2">
      <c r="A310" s="63" t="s">
        <v>717</v>
      </c>
      <c r="B310" s="63" t="e">
        <f ca="1">VLOOKUP('Calculos 2'!A310,'Huella Completa'!A111:G780,4,FALSE)*VLOOKUP('Calculos 2'!A310,'Huella Completa'!A111:G780,4,FALSE)*Hotel*(_xlfn.IFS(Elec_hotel2="siempre",0.6,Elec_hotel2="normalmente",0.75,Elec_hotel2="a veces",0.9,Elec_hotel2="nunca",1))</f>
        <v>#N/A</v>
      </c>
    </row>
    <row r="311" spans="1:2">
      <c r="A311" s="63" t="s">
        <v>718</v>
      </c>
      <c r="B311" s="63" t="e">
        <f ca="1">VLOOKUP('Calculos 2'!A311,'Huella Completa'!A112:G781,4,FALSE)*VLOOKUP('Calculos 2'!A311,'Huella Completa'!A112:G781,4,FALSE)*Hotel*(_xlfn.IFS(Elec_hotel2="siempre",0.6,Elec_hotel2="normalmente",0.75,Elec_hotel2="a veces",0.9,Elec_hotel2="nunca",1))</f>
        <v>#N/A</v>
      </c>
    </row>
    <row r="312" spans="1:2">
      <c r="A312" s="63" t="s">
        <v>719</v>
      </c>
      <c r="B312" s="63" t="e">
        <f ca="1">VLOOKUP('Calculos 2'!A312,'Huella Completa'!A113:G782,4,FALSE)*VLOOKUP('Calculos 2'!A312,'Huella Completa'!A113:G782,4,FALSE)*Hotel*(_xlfn.IFS(Elec_hotel2="siempre",0.6,Elec_hotel2="normalmente",0.75,Elec_hotel2="a veces",0.9,Elec_hotel2="nunca",1))</f>
        <v>#N/A</v>
      </c>
    </row>
    <row r="313" spans="1:2">
      <c r="A313" s="63" t="s">
        <v>720</v>
      </c>
      <c r="B313" s="63" t="e">
        <f ca="1">VLOOKUP('Calculos 2'!A313,'Huella Completa'!A114:G783,4,FALSE)*VLOOKUP('Calculos 2'!A313,'Huella Completa'!A114:G783,4,FALSE)*Hotel*(_xlfn.IFS(Elec_hotel2="siempre",0.6,Elec_hotel2="normalmente",0.75,Elec_hotel2="a veces",0.9,Elec_hotel2="nunca",1))</f>
        <v>#N/A</v>
      </c>
    </row>
    <row r="314" spans="1:2">
      <c r="A314" s="63" t="s">
        <v>721</v>
      </c>
      <c r="B314" s="63" t="e">
        <f ca="1">VLOOKUP('Calculos 2'!A314,'Huella Completa'!A115:G784,4,FALSE)*VLOOKUP('Calculos 2'!A314,'Huella Completa'!A115:G784,4,FALSE)*Hotel*(_xlfn.IFS(Elec_hotel2="siempre",0.6,Elec_hotel2="normalmente",0.75,Elec_hotel2="a veces",0.9,Elec_hotel2="nunca",1))</f>
        <v>#N/A</v>
      </c>
    </row>
    <row r="315" spans="1:2">
      <c r="A315" s="63" t="s">
        <v>722</v>
      </c>
      <c r="B315" s="63" t="e">
        <f ca="1">VLOOKUP('Calculos 2'!A315,'Huella Completa'!A116:G785,4,FALSE)*VLOOKUP('Calculos 2'!A315,'Huella Completa'!A116:G785,4,FALSE)*Hotel*(_xlfn.IFS(Elec_hotel2="siempre",0.6,Elec_hotel2="normalmente",0.75,Elec_hotel2="a veces",0.9,Elec_hotel2="nunca",1))</f>
        <v>#N/A</v>
      </c>
    </row>
    <row r="316" spans="1:2">
      <c r="A316" s="63" t="s">
        <v>723</v>
      </c>
      <c r="B316" s="63" t="e">
        <f ca="1">VLOOKUP('Calculos 2'!A316,'Huella Completa'!A117:G786,4,FALSE)*VLOOKUP('Calculos 2'!A316,'Huella Completa'!A117:G786,4,FALSE)*Hotel*(_xlfn.IFS(Elec_hotel2="siempre",0.6,Elec_hotel2="normalmente",0.75,Elec_hotel2="a veces",0.9,Elec_hotel2="nunca",1))</f>
        <v>#N/A</v>
      </c>
    </row>
    <row r="317" spans="1:2">
      <c r="A317" s="63" t="s">
        <v>724</v>
      </c>
      <c r="B317" s="63" t="e">
        <f ca="1">VLOOKUP('Calculos 2'!A317,'Huella Completa'!A118:G787,4,FALSE)*VLOOKUP('Calculos 2'!A317,'Huella Completa'!A118:G787,4,FALSE)*Hotel*(_xlfn.IFS(Elec_hotel2="siempre",0.6,Elec_hotel2="normalmente",0.75,Elec_hotel2="a veces",0.9,Elec_hotel2="nunca",1))</f>
        <v>#N/A</v>
      </c>
    </row>
    <row r="318" spans="1:2">
      <c r="A318" s="63" t="s">
        <v>725</v>
      </c>
      <c r="B318" s="63" t="e">
        <f ca="1">VLOOKUP('Calculos 2'!A318,'Huella Completa'!A119:G788,4,FALSE)*VLOOKUP('Calculos 2'!A318,'Huella Completa'!A119:G788,4,FALSE)*Hotel*(_xlfn.IFS(Elec_hotel2="siempre",0.6,Elec_hotel2="normalmente",0.75,Elec_hotel2="a veces",0.9,Elec_hotel2="nunca",1))</f>
        <v>#N/A</v>
      </c>
    </row>
    <row r="319" spans="1:2">
      <c r="A319" s="63" t="s">
        <v>726</v>
      </c>
      <c r="B319" s="63" t="e">
        <f ca="1">VLOOKUP('Calculos 2'!A319,'Huella Completa'!A120:G789,4,FALSE)*VLOOKUP('Calculos 2'!A319,'Huella Completa'!A120:G789,4,FALSE)*Hotel*(_xlfn.IFS(Elec_hotel2="siempre",0.6,Elec_hotel2="normalmente",0.75,Elec_hotel2="a veces",0.9,Elec_hotel2="nunca",1))</f>
        <v>#N/A</v>
      </c>
    </row>
    <row r="320" spans="1:2">
      <c r="A320" s="63" t="s">
        <v>727</v>
      </c>
      <c r="B320" s="63" t="e">
        <f ca="1">VLOOKUP('Calculos 2'!A320,'Huella Completa'!A121:G790,4,FALSE)*VLOOKUP('Calculos 2'!A320,'Huella Completa'!A121:G790,4,FALSE)*Hotel*(_xlfn.IFS(Elec_hotel2="siempre",0.6,Elec_hotel2="normalmente",0.75,Elec_hotel2="a veces",0.9,Elec_hotel2="nunca",1))</f>
        <v>#N/A</v>
      </c>
    </row>
    <row r="321" spans="1:26">
      <c r="A321" s="63" t="s">
        <v>728</v>
      </c>
      <c r="B321" s="63" t="e">
        <f ca="1">VLOOKUP('Calculos 2'!A321,'Huella Completa'!A122:G791,4,FALSE)*VLOOKUP('Calculos 2'!A321,'Huella Completa'!A122:G791,4,FALSE)*Hotel*(_xlfn.IFS(Elec_hotel2="siempre",0.6,Elec_hotel2="normalmente",0.75,Elec_hotel2="a veces",0.9,Elec_hotel2="nunca",1))</f>
        <v>#N/A</v>
      </c>
    </row>
    <row r="322" spans="1:26">
      <c r="A322" s="63" t="s">
        <v>729</v>
      </c>
      <c r="B322" s="63" t="e">
        <f ca="1">VLOOKUP('Calculos 2'!A322,'Huella Completa'!A123:G792,4,FALSE)*VLOOKUP('Calculos 2'!A322,'Huella Completa'!A123:G792,4,FALSE)*Hotel*(_xlfn.IFS(Elec_hotel2="siempre",0.6,Elec_hotel2="normalmente",0.75,Elec_hotel2="a veces",0.9,Elec_hotel2="nunca",1))</f>
        <v>#N/A</v>
      </c>
    </row>
    <row r="323" spans="1:26">
      <c r="A323" s="63" t="s">
        <v>730</v>
      </c>
      <c r="B323" s="63" t="e">
        <f ca="1">VLOOKUP('Calculos 2'!A323,'Huella Completa'!A124:G793,4,FALSE)*VLOOKUP('Calculos 2'!A323,'Huella Completa'!A124:G793,4,FALSE)*Hotel*(_xlfn.IFS(Elec_hotel2="siempre",0.6,Elec_hotel2="normalmente",0.75,Elec_hotel2="a veces",0.9,Elec_hotel2="nunca",1))</f>
        <v>#N/A</v>
      </c>
    </row>
    <row r="324" spans="1:26">
      <c r="A324" s="63" t="s">
        <v>731</v>
      </c>
      <c r="B324" s="63" t="e">
        <f ca="1">VLOOKUP('Calculos 2'!A324,'Huella Completa'!A125:G794,4,FALSE)*VLOOKUP('Calculos 2'!A324,'Huella Completa'!A125:G794,4,FALSE)*Hotel*(_xlfn.IFS(Elec_hotel2="siempre",0.6,Elec_hotel2="normalmente",0.75,Elec_hotel2="a veces",0.9,Elec_hotel2="nunca",1))</f>
        <v>#N/A</v>
      </c>
    </row>
    <row r="325" spans="1:26">
      <c r="A325" s="63" t="s">
        <v>732</v>
      </c>
      <c r="B325" s="63" t="e">
        <f ca="1">VLOOKUP('Calculos 2'!A325,'Huella Completa'!A126:G795,4,FALSE)*VLOOKUP('Calculos 2'!A325,'Huella Completa'!A126:G795,4,FALSE)*Hotel*(_xlfn.IFS(Elec_hotel2="siempre",0.6,Elec_hotel2="normalmente",0.75,Elec_hotel2="a veces",0.9,Elec_hotel2="nunca",1))</f>
        <v>#N/A</v>
      </c>
    </row>
    <row r="326" spans="1:26">
      <c r="A326" s="63" t="s">
        <v>733</v>
      </c>
      <c r="B326" s="63" t="e">
        <f ca="1">VLOOKUP('Calculos 2'!A326,'Huella Completa'!A127:G796,4,FALSE)*VLOOKUP('Calculos 2'!A326,'Huella Completa'!A127:G796,4,FALSE)*Hotel*(_xlfn.IFS(Elec_hotel2="siempre",0.6,Elec_hotel2="normalmente",0.75,Elec_hotel2="a veces",0.9,Elec_hotel2="nunca",1))</f>
        <v>#N/A</v>
      </c>
    </row>
    <row r="327" spans="1:26">
      <c r="A327" s="63" t="s">
        <v>734</v>
      </c>
      <c r="B327" s="63" t="e">
        <f ca="1">VLOOKUP('Calculos 2'!A327,'Huella Completa'!A128:G797,4,FALSE)*VLOOKUP('Calculos 2'!A327,'Huella Completa'!A128:G797,4,FALSE)*Hotel*(_xlfn.IFS(Elec_hotel2="siempre",0.6,Elec_hotel2="normalmente",0.75,Elec_hotel2="a veces",0.9,Elec_hotel2="nunca",1))</f>
        <v>#N/A</v>
      </c>
    </row>
    <row r="328" spans="1:26">
      <c r="A328" s="63" t="s">
        <v>735</v>
      </c>
      <c r="B328" s="63" t="e">
        <f ca="1">VLOOKUP('Calculos 2'!A328,'Huella Completa'!A129:G798,4,FALSE)*VLOOKUP('Calculos 2'!A328,'Huella Completa'!A129:G798,4,FALSE)*Hotel*(_xlfn.IFS(Elec_hotel2="siempre",0.6,Elec_hotel2="normalmente",0.75,Elec_hotel2="a veces",0.9,Elec_hotel2="nunca",1))</f>
        <v>#N/A</v>
      </c>
    </row>
    <row r="329" spans="1:26">
      <c r="A329" s="63" t="s">
        <v>736</v>
      </c>
      <c r="B329" s="63" t="e">
        <f ca="1">VLOOKUP('Calculos 2'!A329,'Huella Completa'!A130:G799,4,FALSE)*VLOOKUP('Calculos 2'!A329,'Huella Completa'!A130:G799,4,FALSE)*Hotel*(_xlfn.IFS(Elec_hotel2="siempre",0.6,Elec_hotel2="normalmente",0.75,Elec_hotel2="a veces",0.9,Elec_hotel2="nunca",1))</f>
        <v>#N/A</v>
      </c>
    </row>
    <row r="330" spans="1:26">
      <c r="A330" s="63" t="s">
        <v>737</v>
      </c>
      <c r="B330" s="63" t="e">
        <f ca="1">VLOOKUP('Calculos 2'!A330,'Huella Completa'!A131:G800,4,FALSE)*VLOOKUP('Calculos 2'!A330,'Huella Completa'!A131:G800,4,FALSE)*Hotel*(_xlfn.IFS(Elec_hotel2="siempre",0.6,Elec_hotel2="normalmente",0.75,Elec_hotel2="a veces",0.9,Elec_hotel2="nunca",1))</f>
        <v>#N/A</v>
      </c>
    </row>
    <row r="331" spans="1:26">
      <c r="A331" s="63" t="s">
        <v>738</v>
      </c>
      <c r="B331" s="63" t="e">
        <f ca="1">VLOOKUP('Calculos 2'!A331,'Huella Completa'!A132:G801,4,FALSE)*VLOOKUP('Calculos 2'!A331,'Huella Completa'!A132:G801,4,FALSE)*Hotel*(_xlfn.IFS(Elec_hotel2="siempre",0.6,Elec_hotel2="normalmente",0.75,Elec_hotel2="a veces",0.9,Elec_hotel2="nunca",1))</f>
        <v>#N/A</v>
      </c>
    </row>
    <row r="332" spans="1:26" s="2" customFormat="1">
      <c r="A332" s="97" t="s">
        <v>1063</v>
      </c>
      <c r="B332" s="97"/>
      <c r="C332" s="97" t="e">
        <f ca="1">_xlfn.AGGREGATE(9,6,B232:B331)</f>
        <v>#NAME?</v>
      </c>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4" spans="1:26">
      <c r="A334" s="63" t="s">
        <v>629</v>
      </c>
      <c r="B334" s="63" t="e">
        <f ca="1">VLOOKUP('Calculos 2'!A334,'Huella Completa'!A16:G702,4,FALSE)*
VLOOKUP('Calculos 2'!A334,'Huella Completa'!A16:G702,4,FALSE)*
_xlfn.IFS(VLOOKUP('Calculos 2'!A334,'Huella Completa'!A16:G702,5,FALSE)="normal",comida,
VLOOKUP('Calculos 2'!A334,'Huella Completa'!A16:G702,5,FALSE)="vegetariano",comidavegetariana,
VLOOKUP('Calculos 2'!A334,'Huella Completa'!A16:G702,5,FALSE)="productos locales",productos_locales )</f>
        <v>#NAME?</v>
      </c>
    </row>
    <row r="335" spans="1:26">
      <c r="A335" s="63" t="s">
        <v>630</v>
      </c>
      <c r="B335" s="63" t="e">
        <f ca="1">VLOOKUP('Calculos 2'!A335,'Huella Completa'!A17:G703,4,FALSE)*
VLOOKUP('Calculos 2'!A335,'Huella Completa'!A17:G703,4,FALSE)*
_xlfn.IFS(VLOOKUP('Calculos 2'!A335,'Huella Completa'!A17:G703,5,FALSE)="normal",comida,
VLOOKUP('Calculos 2'!A335,'Huella Completa'!A17:G703,5,FALSE)="vegetariano",comidavegetariana,
VLOOKUP('Calculos 2'!A335,'Huella Completa'!A17:G703,5,FALSE)="productos locales",productos_locales )</f>
        <v>#NAME?</v>
      </c>
    </row>
    <row r="336" spans="1:26">
      <c r="A336" s="63" t="s">
        <v>631</v>
      </c>
      <c r="B336" s="63" t="e">
        <f ca="1">VLOOKUP('Calculos 2'!A336,'Huella Completa'!A18:G704,4,FALSE)*
VLOOKUP('Calculos 2'!A336,'Huella Completa'!A18:G704,4,FALSE)*
_xlfn.IFS(VLOOKUP('Calculos 2'!A336,'Huella Completa'!A18:G704,5,FALSE)="normal",comida,
VLOOKUP('Calculos 2'!A336,'Huella Completa'!A18:G704,5,FALSE)="vegetariano",comidavegetariana,
VLOOKUP('Calculos 2'!A336,'Huella Completa'!A18:G704,5,FALSE)="productos locales",productos_locales )</f>
        <v>#NAME?</v>
      </c>
    </row>
    <row r="337" spans="1:2">
      <c r="A337" s="63" t="s">
        <v>632</v>
      </c>
      <c r="B337" s="63" t="e">
        <f ca="1">VLOOKUP('Calculos 2'!A337,'Huella Completa'!A19:G705,4,FALSE)*
VLOOKUP('Calculos 2'!A337,'Huella Completa'!A19:G705,4,FALSE)*
_xlfn.IFS(VLOOKUP('Calculos 2'!A337,'Huella Completa'!A19:G705,5,FALSE)="normal",comida,
VLOOKUP('Calculos 2'!A337,'Huella Completa'!A19:G705,5,FALSE)="vegetariano",comidavegetariana,
VLOOKUP('Calculos 2'!A337,'Huella Completa'!A19:G705,5,FALSE)="productos locales",productos_locales )</f>
        <v>#NAME?</v>
      </c>
    </row>
    <row r="338" spans="1:2">
      <c r="A338" s="63" t="s">
        <v>633</v>
      </c>
      <c r="B338" s="63" t="e">
        <f ca="1">VLOOKUP('Calculos 2'!A338,'Huella Completa'!A20:G706,4,FALSE)*
VLOOKUP('Calculos 2'!A338,'Huella Completa'!A20:G706,4,FALSE)*
_xlfn.IFS(VLOOKUP('Calculos 2'!A338,'Huella Completa'!A20:G706,5,FALSE)="normal",comida,
VLOOKUP('Calculos 2'!A338,'Huella Completa'!A20:G706,5,FALSE)="vegetariano",comidavegetariana,
VLOOKUP('Calculos 2'!A338,'Huella Completa'!A20:G706,5,FALSE)="productos locales",productos_locales )</f>
        <v>#NAME?</v>
      </c>
    </row>
    <row r="339" spans="1:2">
      <c r="A339" s="63" t="s">
        <v>634</v>
      </c>
      <c r="B339" s="63" t="e">
        <f ca="1">VLOOKUP('Calculos 2'!A339,'Huella Completa'!A21:G707,4,FALSE)*
VLOOKUP('Calculos 2'!A339,'Huella Completa'!A21:G707,4,FALSE)*
_xlfn.IFS(VLOOKUP('Calculos 2'!A339,'Huella Completa'!A21:G707,5,FALSE)="normal",comida,
VLOOKUP('Calculos 2'!A339,'Huella Completa'!A21:G707,5,FALSE)="vegetariano",comidavegetariana,
VLOOKUP('Calculos 2'!A339,'Huella Completa'!A21:G707,5,FALSE)="productos locales",productos_locales )</f>
        <v>#NAME?</v>
      </c>
    </row>
    <row r="340" spans="1:2">
      <c r="A340" s="63" t="s">
        <v>635</v>
      </c>
      <c r="B340" s="63" t="e">
        <f ca="1">VLOOKUP('Calculos 2'!A340,'Huella Completa'!A22:G708,4,FALSE)*
VLOOKUP('Calculos 2'!A340,'Huella Completa'!A22:G708,4,FALSE)*
_xlfn.IFS(VLOOKUP('Calculos 2'!A340,'Huella Completa'!A22:G708,5,FALSE)="normal",comida,
VLOOKUP('Calculos 2'!A340,'Huella Completa'!A22:G708,5,FALSE)="vegetariano",comidavegetariana,
VLOOKUP('Calculos 2'!A340,'Huella Completa'!A22:G708,5,FALSE)="productos locales",productos_locales )</f>
        <v>#NAME?</v>
      </c>
    </row>
    <row r="341" spans="1:2">
      <c r="A341" s="63" t="s">
        <v>636</v>
      </c>
      <c r="B341" s="63" t="e">
        <f ca="1">VLOOKUP('Calculos 2'!A341,'Huella Completa'!A23:G709,4,FALSE)*
VLOOKUP('Calculos 2'!A341,'Huella Completa'!A23:G709,4,FALSE)*
_xlfn.IFS(VLOOKUP('Calculos 2'!A341,'Huella Completa'!A23:G709,5,FALSE)="normal",comida,
VLOOKUP('Calculos 2'!A341,'Huella Completa'!A23:G709,5,FALSE)="vegetariano",comidavegetariana,
VLOOKUP('Calculos 2'!A341,'Huella Completa'!A23:G709,5,FALSE)="productos locales",productos_locales )</f>
        <v>#NAME?</v>
      </c>
    </row>
    <row r="342" spans="1:2">
      <c r="A342" s="63" t="s">
        <v>637</v>
      </c>
      <c r="B342" s="63" t="e">
        <f ca="1">VLOOKUP('Calculos 2'!A342,'Huella Completa'!A24:G710,4,FALSE)*
VLOOKUP('Calculos 2'!A342,'Huella Completa'!A24:G710,4,FALSE)*
_xlfn.IFS(VLOOKUP('Calculos 2'!A342,'Huella Completa'!A24:G710,5,FALSE)="normal",comida,
VLOOKUP('Calculos 2'!A342,'Huella Completa'!A24:G710,5,FALSE)="vegetariano",comidavegetariana,
VLOOKUP('Calculos 2'!A342,'Huella Completa'!A24:G710,5,FALSE)="productos locales",productos_locales )</f>
        <v>#NAME?</v>
      </c>
    </row>
    <row r="343" spans="1:2">
      <c r="A343" s="63" t="s">
        <v>638</v>
      </c>
      <c r="B343" s="63" t="e">
        <f ca="1">VLOOKUP('Calculos 2'!A343,'Huella Completa'!A25:G711,4,FALSE)*
VLOOKUP('Calculos 2'!A343,'Huella Completa'!A25:G711,4,FALSE)*
_xlfn.IFS(VLOOKUP('Calculos 2'!A343,'Huella Completa'!A25:G711,5,FALSE)="normal",comida,
VLOOKUP('Calculos 2'!A343,'Huella Completa'!A25:G711,5,FALSE)="vegetariano",comidavegetariana,
VLOOKUP('Calculos 2'!A343,'Huella Completa'!A25:G711,5,FALSE)="productos locales",productos_locales )</f>
        <v>#NAME?</v>
      </c>
    </row>
    <row r="344" spans="1:2">
      <c r="A344" s="63" t="s">
        <v>742</v>
      </c>
      <c r="B344" s="63" t="e">
        <f ca="1">VLOOKUP('Calculos 2'!A344,'Huella Completa'!A26:G712,4,FALSE)*
VLOOKUP('Calculos 2'!A344,'Huella Completa'!A26:G712,4,FALSE)*
_xlfn.IFS(VLOOKUP('Calculos 2'!A344,'Huella Completa'!A26:G712,5,FALSE)="normal",comida,
VLOOKUP('Calculos 2'!A344,'Huella Completa'!A26:G712,5,FALSE)="vegetariano",comidavegetariana,
VLOOKUP('Calculos 2'!A344,'Huella Completa'!A26:G712,5,FALSE)="productos locales",productos_locales )</f>
        <v>#N/A</v>
      </c>
    </row>
    <row r="345" spans="1:2">
      <c r="A345" s="63" t="s">
        <v>743</v>
      </c>
      <c r="B345" s="63" t="e">
        <f ca="1">VLOOKUP('Calculos 2'!A345,'Huella Completa'!A27:G713,4,FALSE)*
VLOOKUP('Calculos 2'!A345,'Huella Completa'!A27:G713,4,FALSE)*
_xlfn.IFS(VLOOKUP('Calculos 2'!A345,'Huella Completa'!A27:G713,5,FALSE)="normal",comida,
VLOOKUP('Calculos 2'!A345,'Huella Completa'!A27:G713,5,FALSE)="vegetariano",comidavegetariana,
VLOOKUP('Calculos 2'!A345,'Huella Completa'!A27:G713,5,FALSE)="productos locales",productos_locales )</f>
        <v>#N/A</v>
      </c>
    </row>
    <row r="346" spans="1:2">
      <c r="A346" s="63" t="s">
        <v>744</v>
      </c>
      <c r="B346" s="63" t="e">
        <f ca="1">VLOOKUP('Calculos 2'!A346,'Huella Completa'!A28:G714,4,FALSE)*
VLOOKUP('Calculos 2'!A346,'Huella Completa'!A28:G714,4,FALSE)*
_xlfn.IFS(VLOOKUP('Calculos 2'!A346,'Huella Completa'!A28:G714,5,FALSE)="normal",comida,
VLOOKUP('Calculos 2'!A346,'Huella Completa'!A28:G714,5,FALSE)="vegetariano",comidavegetariana,
VLOOKUP('Calculos 2'!A346,'Huella Completa'!A28:G714,5,FALSE)="productos locales",productos_locales )</f>
        <v>#N/A</v>
      </c>
    </row>
    <row r="347" spans="1:2">
      <c r="A347" s="63" t="s">
        <v>745</v>
      </c>
      <c r="B347" s="63" t="e">
        <f ca="1">VLOOKUP('Calculos 2'!A347,'Huella Completa'!A29:G715,4,FALSE)*
VLOOKUP('Calculos 2'!A347,'Huella Completa'!A29:G715,4,FALSE)*
_xlfn.IFS(VLOOKUP('Calculos 2'!A347,'Huella Completa'!A29:G715,5,FALSE)="normal",comida,
VLOOKUP('Calculos 2'!A347,'Huella Completa'!A29:G715,5,FALSE)="vegetariano",comidavegetariana,
VLOOKUP('Calculos 2'!A347,'Huella Completa'!A29:G715,5,FALSE)="productos locales",productos_locales )</f>
        <v>#N/A</v>
      </c>
    </row>
    <row r="348" spans="1:2">
      <c r="A348" s="63" t="s">
        <v>746</v>
      </c>
      <c r="B348" s="63" t="e">
        <f ca="1">VLOOKUP('Calculos 2'!A348,'Huella Completa'!A30:G716,4,FALSE)*
VLOOKUP('Calculos 2'!A348,'Huella Completa'!A30:G716,4,FALSE)*
_xlfn.IFS(VLOOKUP('Calculos 2'!A348,'Huella Completa'!A30:G716,5,FALSE)="normal",comida,
VLOOKUP('Calculos 2'!A348,'Huella Completa'!A30:G716,5,FALSE)="vegetariano",comidavegetariana,
VLOOKUP('Calculos 2'!A348,'Huella Completa'!A30:G716,5,FALSE)="productos locales",productos_locales )</f>
        <v>#N/A</v>
      </c>
    </row>
    <row r="349" spans="1:2">
      <c r="A349" s="63" t="s">
        <v>747</v>
      </c>
      <c r="B349" s="63" t="e">
        <f ca="1">VLOOKUP('Calculos 2'!A349,'Huella Completa'!A31:G717,4,FALSE)*
VLOOKUP('Calculos 2'!A349,'Huella Completa'!A31:G717,4,FALSE)*
_xlfn.IFS(VLOOKUP('Calculos 2'!A349,'Huella Completa'!A31:G717,5,FALSE)="normal",comida,
VLOOKUP('Calculos 2'!A349,'Huella Completa'!A31:G717,5,FALSE)="vegetariano",comidavegetariana,
VLOOKUP('Calculos 2'!A349,'Huella Completa'!A31:G717,5,FALSE)="productos locales",productos_locales )</f>
        <v>#N/A</v>
      </c>
    </row>
    <row r="350" spans="1:2">
      <c r="A350" s="63" t="s">
        <v>748</v>
      </c>
      <c r="B350" s="63" t="e">
        <f ca="1">VLOOKUP('Calculos 2'!A350,'Huella Completa'!A32:G718,4,FALSE)*
VLOOKUP('Calculos 2'!A350,'Huella Completa'!A32:G718,4,FALSE)*
_xlfn.IFS(VLOOKUP('Calculos 2'!A350,'Huella Completa'!A32:G718,5,FALSE)="normal",comida,
VLOOKUP('Calculos 2'!A350,'Huella Completa'!A32:G718,5,FALSE)="vegetariano",comidavegetariana,
VLOOKUP('Calculos 2'!A350,'Huella Completa'!A32:G718,5,FALSE)="productos locales",productos_locales )</f>
        <v>#N/A</v>
      </c>
    </row>
    <row r="351" spans="1:2">
      <c r="A351" s="63" t="s">
        <v>749</v>
      </c>
      <c r="B351" s="63" t="e">
        <f ca="1">VLOOKUP('Calculos 2'!A351,'Huella Completa'!A33:G719,4,FALSE)*
VLOOKUP('Calculos 2'!A351,'Huella Completa'!A33:G719,4,FALSE)*
_xlfn.IFS(VLOOKUP('Calculos 2'!A351,'Huella Completa'!A33:G719,5,FALSE)="normal",comida,
VLOOKUP('Calculos 2'!A351,'Huella Completa'!A33:G719,5,FALSE)="vegetariano",comidavegetariana,
VLOOKUP('Calculos 2'!A351,'Huella Completa'!A33:G719,5,FALSE)="productos locales",productos_locales )</f>
        <v>#N/A</v>
      </c>
    </row>
    <row r="352" spans="1:2">
      <c r="A352" s="63" t="s">
        <v>750</v>
      </c>
      <c r="B352" s="63" t="e">
        <f ca="1">VLOOKUP('Calculos 2'!A352,'Huella Completa'!A34:G720,4,FALSE)*
VLOOKUP('Calculos 2'!A352,'Huella Completa'!A34:G720,4,FALSE)*
_xlfn.IFS(VLOOKUP('Calculos 2'!A352,'Huella Completa'!A34:G720,5,FALSE)="normal",comida,
VLOOKUP('Calculos 2'!A352,'Huella Completa'!A34:G720,5,FALSE)="vegetariano",comidavegetariana,
VLOOKUP('Calculos 2'!A352,'Huella Completa'!A34:G720,5,FALSE)="productos locales",productos_locales )</f>
        <v>#N/A</v>
      </c>
    </row>
    <row r="353" spans="1:2">
      <c r="A353" s="63" t="s">
        <v>751</v>
      </c>
      <c r="B353" s="63" t="e">
        <f ca="1">VLOOKUP('Calculos 2'!A353,'Huella Completa'!A35:G721,4,FALSE)*
VLOOKUP('Calculos 2'!A353,'Huella Completa'!A35:G721,4,FALSE)*
_xlfn.IFS(VLOOKUP('Calculos 2'!A353,'Huella Completa'!A35:G721,5,FALSE)="normal",comida,
VLOOKUP('Calculos 2'!A353,'Huella Completa'!A35:G721,5,FALSE)="vegetariano",comidavegetariana,
VLOOKUP('Calculos 2'!A353,'Huella Completa'!A35:G721,5,FALSE)="productos locales",productos_locales )</f>
        <v>#N/A</v>
      </c>
    </row>
    <row r="354" spans="1:2">
      <c r="A354" s="63" t="s">
        <v>752</v>
      </c>
      <c r="B354" s="63" t="e">
        <f ca="1">VLOOKUP('Calculos 2'!A354,'Huella Completa'!A36:G722,4,FALSE)*
VLOOKUP('Calculos 2'!A354,'Huella Completa'!A36:G722,4,FALSE)*
_xlfn.IFS(VLOOKUP('Calculos 2'!A354,'Huella Completa'!A36:G722,5,FALSE)="normal",comida,
VLOOKUP('Calculos 2'!A354,'Huella Completa'!A36:G722,5,FALSE)="vegetariano",comidavegetariana,
VLOOKUP('Calculos 2'!A354,'Huella Completa'!A36:G722,5,FALSE)="productos locales",productos_locales )</f>
        <v>#N/A</v>
      </c>
    </row>
    <row r="355" spans="1:2">
      <c r="A355" s="63" t="s">
        <v>753</v>
      </c>
      <c r="B355" s="63" t="e">
        <f ca="1">VLOOKUP('Calculos 2'!A355,'Huella Completa'!A37:G723,4,FALSE)*
VLOOKUP('Calculos 2'!A355,'Huella Completa'!A37:G723,4,FALSE)*
_xlfn.IFS(VLOOKUP('Calculos 2'!A355,'Huella Completa'!A37:G723,5,FALSE)="normal",comida,
VLOOKUP('Calculos 2'!A355,'Huella Completa'!A37:G723,5,FALSE)="vegetariano",comidavegetariana,
VLOOKUP('Calculos 2'!A355,'Huella Completa'!A37:G723,5,FALSE)="productos locales",productos_locales )</f>
        <v>#N/A</v>
      </c>
    </row>
    <row r="356" spans="1:2">
      <c r="A356" s="63" t="s">
        <v>754</v>
      </c>
      <c r="B356" s="63" t="e">
        <f ca="1">VLOOKUP('Calculos 2'!A356,'Huella Completa'!A38:G724,4,FALSE)*
VLOOKUP('Calculos 2'!A356,'Huella Completa'!A38:G724,4,FALSE)*
_xlfn.IFS(VLOOKUP('Calculos 2'!A356,'Huella Completa'!A38:G724,5,FALSE)="normal",comida,
VLOOKUP('Calculos 2'!A356,'Huella Completa'!A38:G724,5,FALSE)="vegetariano",comidavegetariana,
VLOOKUP('Calculos 2'!A356,'Huella Completa'!A38:G724,5,FALSE)="productos locales",productos_locales )</f>
        <v>#N/A</v>
      </c>
    </row>
    <row r="357" spans="1:2">
      <c r="A357" s="63" t="s">
        <v>755</v>
      </c>
      <c r="B357" s="63" t="e">
        <f ca="1">VLOOKUP('Calculos 2'!A357,'Huella Completa'!A39:G725,4,FALSE)*
VLOOKUP('Calculos 2'!A357,'Huella Completa'!A39:G725,4,FALSE)*
_xlfn.IFS(VLOOKUP('Calculos 2'!A357,'Huella Completa'!A39:G725,5,FALSE)="normal",comida,
VLOOKUP('Calculos 2'!A357,'Huella Completa'!A39:G725,5,FALSE)="vegetariano",comidavegetariana,
VLOOKUP('Calculos 2'!A357,'Huella Completa'!A39:G725,5,FALSE)="productos locales",productos_locales )</f>
        <v>#N/A</v>
      </c>
    </row>
    <row r="358" spans="1:2">
      <c r="A358" s="63" t="s">
        <v>756</v>
      </c>
      <c r="B358" s="63" t="e">
        <f ca="1">VLOOKUP('Calculos 2'!A358,'Huella Completa'!A40:G726,4,FALSE)*
VLOOKUP('Calculos 2'!A358,'Huella Completa'!A40:G726,4,FALSE)*
_xlfn.IFS(VLOOKUP('Calculos 2'!A358,'Huella Completa'!A40:G726,5,FALSE)="normal",comida,
VLOOKUP('Calculos 2'!A358,'Huella Completa'!A40:G726,5,FALSE)="vegetariano",comidavegetariana,
VLOOKUP('Calculos 2'!A358,'Huella Completa'!A40:G726,5,FALSE)="productos locales",productos_locales )</f>
        <v>#N/A</v>
      </c>
    </row>
    <row r="359" spans="1:2">
      <c r="A359" s="63" t="s">
        <v>757</v>
      </c>
      <c r="B359" s="63" t="e">
        <f ca="1">VLOOKUP('Calculos 2'!A359,'Huella Completa'!A41:G727,4,FALSE)*
VLOOKUP('Calculos 2'!A359,'Huella Completa'!A41:G727,4,FALSE)*
_xlfn.IFS(VLOOKUP('Calculos 2'!A359,'Huella Completa'!A41:G727,5,FALSE)="normal",comida,
VLOOKUP('Calculos 2'!A359,'Huella Completa'!A41:G727,5,FALSE)="vegetariano",comidavegetariana,
VLOOKUP('Calculos 2'!A359,'Huella Completa'!A41:G727,5,FALSE)="productos locales",productos_locales )</f>
        <v>#N/A</v>
      </c>
    </row>
    <row r="360" spans="1:2">
      <c r="A360" s="63" t="s">
        <v>758</v>
      </c>
      <c r="B360" s="63" t="e">
        <f ca="1">VLOOKUP('Calculos 2'!A360,'Huella Completa'!A42:G728,4,FALSE)*
VLOOKUP('Calculos 2'!A360,'Huella Completa'!A42:G728,4,FALSE)*
_xlfn.IFS(VLOOKUP('Calculos 2'!A360,'Huella Completa'!A42:G728,5,FALSE)="normal",comida,
VLOOKUP('Calculos 2'!A360,'Huella Completa'!A42:G728,5,FALSE)="vegetariano",comidavegetariana,
VLOOKUP('Calculos 2'!A360,'Huella Completa'!A42:G728,5,FALSE)="productos locales",productos_locales )</f>
        <v>#N/A</v>
      </c>
    </row>
    <row r="361" spans="1:2">
      <c r="A361" s="63" t="s">
        <v>759</v>
      </c>
      <c r="B361" s="63" t="e">
        <f ca="1">VLOOKUP('Calculos 2'!A361,'Huella Completa'!A43:G729,4,FALSE)*
VLOOKUP('Calculos 2'!A361,'Huella Completa'!A43:G729,4,FALSE)*
_xlfn.IFS(VLOOKUP('Calculos 2'!A361,'Huella Completa'!A43:G729,5,FALSE)="normal",comida,
VLOOKUP('Calculos 2'!A361,'Huella Completa'!A43:G729,5,FALSE)="vegetariano",comidavegetariana,
VLOOKUP('Calculos 2'!A361,'Huella Completa'!A43:G729,5,FALSE)="productos locales",productos_locales )</f>
        <v>#N/A</v>
      </c>
    </row>
    <row r="362" spans="1:2">
      <c r="A362" s="63" t="s">
        <v>760</v>
      </c>
      <c r="B362" s="63" t="e">
        <f ca="1">VLOOKUP('Calculos 2'!A362,'Huella Completa'!A44:G730,4,FALSE)*
VLOOKUP('Calculos 2'!A362,'Huella Completa'!A44:G730,4,FALSE)*
_xlfn.IFS(VLOOKUP('Calculos 2'!A362,'Huella Completa'!A44:G730,5,FALSE)="normal",comida,
VLOOKUP('Calculos 2'!A362,'Huella Completa'!A44:G730,5,FALSE)="vegetariano",comidavegetariana,
VLOOKUP('Calculos 2'!A362,'Huella Completa'!A44:G730,5,FALSE)="productos locales",productos_locales )</f>
        <v>#N/A</v>
      </c>
    </row>
    <row r="363" spans="1:2">
      <c r="A363" s="63" t="s">
        <v>761</v>
      </c>
      <c r="B363" s="63" t="e">
        <f ca="1">VLOOKUP('Calculos 2'!A363,'Huella Completa'!A45:G731,4,FALSE)*
VLOOKUP('Calculos 2'!A363,'Huella Completa'!A45:G731,4,FALSE)*
_xlfn.IFS(VLOOKUP('Calculos 2'!A363,'Huella Completa'!A45:G731,5,FALSE)="normal",comida,
VLOOKUP('Calculos 2'!A363,'Huella Completa'!A45:G731,5,FALSE)="vegetariano",comidavegetariana,
VLOOKUP('Calculos 2'!A363,'Huella Completa'!A45:G731,5,FALSE)="productos locales",productos_locales )</f>
        <v>#N/A</v>
      </c>
    </row>
    <row r="364" spans="1:2">
      <c r="A364" s="63" t="s">
        <v>762</v>
      </c>
      <c r="B364" s="63" t="e">
        <f ca="1">VLOOKUP('Calculos 2'!A364,'Huella Completa'!A46:G732,4,FALSE)*
VLOOKUP('Calculos 2'!A364,'Huella Completa'!A46:G732,4,FALSE)*
_xlfn.IFS(VLOOKUP('Calculos 2'!A364,'Huella Completa'!A46:G732,5,FALSE)="normal",comida,
VLOOKUP('Calculos 2'!A364,'Huella Completa'!A46:G732,5,FALSE)="vegetariano",comidavegetariana,
VLOOKUP('Calculos 2'!A364,'Huella Completa'!A46:G732,5,FALSE)="productos locales",productos_locales )</f>
        <v>#N/A</v>
      </c>
    </row>
    <row r="365" spans="1:2">
      <c r="A365" s="63" t="s">
        <v>763</v>
      </c>
      <c r="B365" s="63" t="e">
        <f ca="1">VLOOKUP('Calculos 2'!A365,'Huella Completa'!A47:G733,4,FALSE)*
VLOOKUP('Calculos 2'!A365,'Huella Completa'!A47:G733,4,FALSE)*
_xlfn.IFS(VLOOKUP('Calculos 2'!A365,'Huella Completa'!A47:G733,5,FALSE)="normal",comida,
VLOOKUP('Calculos 2'!A365,'Huella Completa'!A47:G733,5,FALSE)="vegetariano",comidavegetariana,
VLOOKUP('Calculos 2'!A365,'Huella Completa'!A47:G733,5,FALSE)="productos locales",productos_locales )</f>
        <v>#N/A</v>
      </c>
    </row>
    <row r="366" spans="1:2">
      <c r="A366" s="63" t="s">
        <v>764</v>
      </c>
      <c r="B366" s="63" t="e">
        <f ca="1">VLOOKUP('Calculos 2'!A366,'Huella Completa'!A48:G734,4,FALSE)*
VLOOKUP('Calculos 2'!A366,'Huella Completa'!A48:G734,4,FALSE)*
_xlfn.IFS(VLOOKUP('Calculos 2'!A366,'Huella Completa'!A48:G734,5,FALSE)="normal",comida,
VLOOKUP('Calculos 2'!A366,'Huella Completa'!A48:G734,5,FALSE)="vegetariano",comidavegetariana,
VLOOKUP('Calculos 2'!A366,'Huella Completa'!A48:G734,5,FALSE)="productos locales",productos_locales )</f>
        <v>#N/A</v>
      </c>
    </row>
    <row r="367" spans="1:2">
      <c r="A367" s="63" t="s">
        <v>765</v>
      </c>
      <c r="B367" s="63" t="e">
        <f ca="1">VLOOKUP('Calculos 2'!A367,'Huella Completa'!A49:G735,4,FALSE)*
VLOOKUP('Calculos 2'!A367,'Huella Completa'!A49:G735,4,FALSE)*
_xlfn.IFS(VLOOKUP('Calculos 2'!A367,'Huella Completa'!A49:G735,5,FALSE)="normal",comida,
VLOOKUP('Calculos 2'!A367,'Huella Completa'!A49:G735,5,FALSE)="vegetariano",comidavegetariana,
VLOOKUP('Calculos 2'!A367,'Huella Completa'!A49:G735,5,FALSE)="productos locales",productos_locales )</f>
        <v>#N/A</v>
      </c>
    </row>
    <row r="368" spans="1:2">
      <c r="A368" s="63" t="s">
        <v>766</v>
      </c>
      <c r="B368" s="63" t="e">
        <f ca="1">VLOOKUP('Calculos 2'!A368,'Huella Completa'!A50:G736,4,FALSE)*
VLOOKUP('Calculos 2'!A368,'Huella Completa'!A50:G736,4,FALSE)*
_xlfn.IFS(VLOOKUP('Calculos 2'!A368,'Huella Completa'!A50:G736,5,FALSE)="normal",comida,
VLOOKUP('Calculos 2'!A368,'Huella Completa'!A50:G736,5,FALSE)="vegetariano",comidavegetariana,
VLOOKUP('Calculos 2'!A368,'Huella Completa'!A50:G736,5,FALSE)="productos locales",productos_locales )</f>
        <v>#N/A</v>
      </c>
    </row>
    <row r="369" spans="1:2">
      <c r="A369" s="63" t="s">
        <v>767</v>
      </c>
      <c r="B369" s="63" t="e">
        <f ca="1">VLOOKUP('Calculos 2'!A369,'Huella Completa'!A51:G737,4,FALSE)*
VLOOKUP('Calculos 2'!A369,'Huella Completa'!A51:G737,4,FALSE)*
_xlfn.IFS(VLOOKUP('Calculos 2'!A369,'Huella Completa'!A51:G737,5,FALSE)="normal",comida,
VLOOKUP('Calculos 2'!A369,'Huella Completa'!A51:G737,5,FALSE)="vegetariano",comidavegetariana,
VLOOKUP('Calculos 2'!A369,'Huella Completa'!A51:G737,5,FALSE)="productos locales",productos_locales )</f>
        <v>#N/A</v>
      </c>
    </row>
    <row r="370" spans="1:2">
      <c r="A370" s="63" t="s">
        <v>768</v>
      </c>
      <c r="B370" s="63" t="e">
        <f ca="1">VLOOKUP('Calculos 2'!A370,'Huella Completa'!A52:G738,4,FALSE)*
VLOOKUP('Calculos 2'!A370,'Huella Completa'!A52:G738,4,FALSE)*
_xlfn.IFS(VLOOKUP('Calculos 2'!A370,'Huella Completa'!A52:G738,5,FALSE)="normal",comida,
VLOOKUP('Calculos 2'!A370,'Huella Completa'!A52:G738,5,FALSE)="vegetariano",comidavegetariana,
VLOOKUP('Calculos 2'!A370,'Huella Completa'!A52:G738,5,FALSE)="productos locales",productos_locales )</f>
        <v>#N/A</v>
      </c>
    </row>
    <row r="371" spans="1:2">
      <c r="A371" s="63" t="s">
        <v>769</v>
      </c>
      <c r="B371" s="63" t="e">
        <f ca="1">VLOOKUP('Calculos 2'!A371,'Huella Completa'!A53:G739,4,FALSE)*
VLOOKUP('Calculos 2'!A371,'Huella Completa'!A53:G739,4,FALSE)*
_xlfn.IFS(VLOOKUP('Calculos 2'!A371,'Huella Completa'!A53:G739,5,FALSE)="normal",comida,
VLOOKUP('Calculos 2'!A371,'Huella Completa'!A53:G739,5,FALSE)="vegetariano",comidavegetariana,
VLOOKUP('Calculos 2'!A371,'Huella Completa'!A53:G739,5,FALSE)="productos locales",productos_locales )</f>
        <v>#N/A</v>
      </c>
    </row>
    <row r="372" spans="1:2">
      <c r="A372" s="63" t="s">
        <v>770</v>
      </c>
      <c r="B372" s="63" t="e">
        <f ca="1">VLOOKUP('Calculos 2'!A372,'Huella Completa'!A54:G740,4,FALSE)*
VLOOKUP('Calculos 2'!A372,'Huella Completa'!A54:G740,4,FALSE)*
_xlfn.IFS(VLOOKUP('Calculos 2'!A372,'Huella Completa'!A54:G740,5,FALSE)="normal",comida,
VLOOKUP('Calculos 2'!A372,'Huella Completa'!A54:G740,5,FALSE)="vegetariano",comidavegetariana,
VLOOKUP('Calculos 2'!A372,'Huella Completa'!A54:G740,5,FALSE)="productos locales",productos_locales )</f>
        <v>#N/A</v>
      </c>
    </row>
    <row r="373" spans="1:2">
      <c r="A373" s="63" t="s">
        <v>771</v>
      </c>
      <c r="B373" s="63" t="e">
        <f ca="1">VLOOKUP('Calculos 2'!A373,'Huella Completa'!A55:G741,4,FALSE)*
VLOOKUP('Calculos 2'!A373,'Huella Completa'!A55:G741,4,FALSE)*
_xlfn.IFS(VLOOKUP('Calculos 2'!A373,'Huella Completa'!A55:G741,5,FALSE)="normal",comida,
VLOOKUP('Calculos 2'!A373,'Huella Completa'!A55:G741,5,FALSE)="vegetariano",comidavegetariana,
VLOOKUP('Calculos 2'!A373,'Huella Completa'!A55:G741,5,FALSE)="productos locales",productos_locales )</f>
        <v>#N/A</v>
      </c>
    </row>
    <row r="374" spans="1:2">
      <c r="A374" s="63" t="s">
        <v>772</v>
      </c>
      <c r="B374" s="63" t="e">
        <f ca="1">VLOOKUP('Calculos 2'!A374,'Huella Completa'!A56:G742,4,FALSE)*
VLOOKUP('Calculos 2'!A374,'Huella Completa'!A56:G742,4,FALSE)*
_xlfn.IFS(VLOOKUP('Calculos 2'!A374,'Huella Completa'!A56:G742,5,FALSE)="normal",comida,
VLOOKUP('Calculos 2'!A374,'Huella Completa'!A56:G742,5,FALSE)="vegetariano",comidavegetariana,
VLOOKUP('Calculos 2'!A374,'Huella Completa'!A56:G742,5,FALSE)="productos locales",productos_locales )</f>
        <v>#N/A</v>
      </c>
    </row>
    <row r="375" spans="1:2">
      <c r="A375" s="63" t="s">
        <v>773</v>
      </c>
      <c r="B375" s="63" t="e">
        <f ca="1">VLOOKUP('Calculos 2'!A375,'Huella Completa'!A57:G743,4,FALSE)*
VLOOKUP('Calculos 2'!A375,'Huella Completa'!A57:G743,4,FALSE)*
_xlfn.IFS(VLOOKUP('Calculos 2'!A375,'Huella Completa'!A57:G743,5,FALSE)="normal",comida,
VLOOKUP('Calculos 2'!A375,'Huella Completa'!A57:G743,5,FALSE)="vegetariano",comidavegetariana,
VLOOKUP('Calculos 2'!A375,'Huella Completa'!A57:G743,5,FALSE)="productos locales",productos_locales )</f>
        <v>#N/A</v>
      </c>
    </row>
    <row r="376" spans="1:2">
      <c r="A376" s="63" t="s">
        <v>774</v>
      </c>
      <c r="B376" s="63" t="e">
        <f ca="1">VLOOKUP('Calculos 2'!A376,'Huella Completa'!A58:G744,4,FALSE)*
VLOOKUP('Calculos 2'!A376,'Huella Completa'!A58:G744,4,FALSE)*
_xlfn.IFS(VLOOKUP('Calculos 2'!A376,'Huella Completa'!A58:G744,5,FALSE)="normal",comida,
VLOOKUP('Calculos 2'!A376,'Huella Completa'!A58:G744,5,FALSE)="vegetariano",comidavegetariana,
VLOOKUP('Calculos 2'!A376,'Huella Completa'!A58:G744,5,FALSE)="productos locales",productos_locales )</f>
        <v>#N/A</v>
      </c>
    </row>
    <row r="377" spans="1:2">
      <c r="A377" s="63" t="s">
        <v>775</v>
      </c>
      <c r="B377" s="63" t="e">
        <f ca="1">VLOOKUP('Calculos 2'!A377,'Huella Completa'!A59:G745,4,FALSE)*
VLOOKUP('Calculos 2'!A377,'Huella Completa'!A59:G745,4,FALSE)*
_xlfn.IFS(VLOOKUP('Calculos 2'!A377,'Huella Completa'!A59:G745,5,FALSE)="normal",comida,
VLOOKUP('Calculos 2'!A377,'Huella Completa'!A59:G745,5,FALSE)="vegetariano",comidavegetariana,
VLOOKUP('Calculos 2'!A377,'Huella Completa'!A59:G745,5,FALSE)="productos locales",productos_locales )</f>
        <v>#N/A</v>
      </c>
    </row>
    <row r="378" spans="1:2">
      <c r="A378" s="63" t="s">
        <v>776</v>
      </c>
      <c r="B378" s="63" t="e">
        <f ca="1">VLOOKUP('Calculos 2'!A378,'Huella Completa'!A60:G746,4,FALSE)*
VLOOKUP('Calculos 2'!A378,'Huella Completa'!A60:G746,4,FALSE)*
_xlfn.IFS(VLOOKUP('Calculos 2'!A378,'Huella Completa'!A60:G746,5,FALSE)="normal",comida,
VLOOKUP('Calculos 2'!A378,'Huella Completa'!A60:G746,5,FALSE)="vegetariano",comidavegetariana,
VLOOKUP('Calculos 2'!A378,'Huella Completa'!A60:G746,5,FALSE)="productos locales",productos_locales )</f>
        <v>#N/A</v>
      </c>
    </row>
    <row r="379" spans="1:2">
      <c r="A379" s="63" t="s">
        <v>777</v>
      </c>
      <c r="B379" s="63" t="e">
        <f ca="1">VLOOKUP('Calculos 2'!A379,'Huella Completa'!A61:G747,4,FALSE)*
VLOOKUP('Calculos 2'!A379,'Huella Completa'!A61:G747,4,FALSE)*
_xlfn.IFS(VLOOKUP('Calculos 2'!A379,'Huella Completa'!A61:G747,5,FALSE)="normal",comida,
VLOOKUP('Calculos 2'!A379,'Huella Completa'!A61:G747,5,FALSE)="vegetariano",comidavegetariana,
VLOOKUP('Calculos 2'!A379,'Huella Completa'!A61:G747,5,FALSE)="productos locales",productos_locales )</f>
        <v>#N/A</v>
      </c>
    </row>
    <row r="380" spans="1:2">
      <c r="A380" s="63" t="s">
        <v>778</v>
      </c>
      <c r="B380" s="63" t="e">
        <f ca="1">VLOOKUP('Calculos 2'!A380,'Huella Completa'!A62:G748,4,FALSE)*
VLOOKUP('Calculos 2'!A380,'Huella Completa'!A62:G748,4,FALSE)*
_xlfn.IFS(VLOOKUP('Calculos 2'!A380,'Huella Completa'!A62:G748,5,FALSE)="normal",comida,
VLOOKUP('Calculos 2'!A380,'Huella Completa'!A62:G748,5,FALSE)="vegetariano",comidavegetariana,
VLOOKUP('Calculos 2'!A380,'Huella Completa'!A62:G748,5,FALSE)="productos locales",productos_locales )</f>
        <v>#N/A</v>
      </c>
    </row>
    <row r="381" spans="1:2">
      <c r="A381" s="63" t="s">
        <v>779</v>
      </c>
      <c r="B381" s="63" t="e">
        <f ca="1">VLOOKUP('Calculos 2'!A381,'Huella Completa'!A63:G749,4,FALSE)*
VLOOKUP('Calculos 2'!A381,'Huella Completa'!A63:G749,4,FALSE)*
_xlfn.IFS(VLOOKUP('Calculos 2'!A381,'Huella Completa'!A63:G749,5,FALSE)="normal",comida,
VLOOKUP('Calculos 2'!A381,'Huella Completa'!A63:G749,5,FALSE)="vegetariano",comidavegetariana,
VLOOKUP('Calculos 2'!A381,'Huella Completa'!A63:G749,5,FALSE)="productos locales",productos_locales )</f>
        <v>#N/A</v>
      </c>
    </row>
    <row r="382" spans="1:2">
      <c r="A382" s="63" t="s">
        <v>780</v>
      </c>
      <c r="B382" s="63" t="e">
        <f ca="1">VLOOKUP('Calculos 2'!A382,'Huella Completa'!A64:G750,4,FALSE)*
VLOOKUP('Calculos 2'!A382,'Huella Completa'!A64:G750,4,FALSE)*
_xlfn.IFS(VLOOKUP('Calculos 2'!A382,'Huella Completa'!A64:G750,5,FALSE)="normal",comida,
VLOOKUP('Calculos 2'!A382,'Huella Completa'!A64:G750,5,FALSE)="vegetariano",comidavegetariana,
VLOOKUP('Calculos 2'!A382,'Huella Completa'!A64:G750,5,FALSE)="productos locales",productos_locales )</f>
        <v>#N/A</v>
      </c>
    </row>
    <row r="383" spans="1:2">
      <c r="A383" s="63" t="s">
        <v>781</v>
      </c>
      <c r="B383" s="63" t="e">
        <f ca="1">VLOOKUP('Calculos 2'!A383,'Huella Completa'!A65:G751,4,FALSE)*
VLOOKUP('Calculos 2'!A383,'Huella Completa'!A65:G751,4,FALSE)*
_xlfn.IFS(VLOOKUP('Calculos 2'!A383,'Huella Completa'!A65:G751,5,FALSE)="normal",comida,
VLOOKUP('Calculos 2'!A383,'Huella Completa'!A65:G751,5,FALSE)="vegetariano",comidavegetariana,
VLOOKUP('Calculos 2'!A383,'Huella Completa'!A65:G751,5,FALSE)="productos locales",productos_locales )</f>
        <v>#N/A</v>
      </c>
    </row>
    <row r="384" spans="1:2">
      <c r="A384" s="63" t="s">
        <v>782</v>
      </c>
      <c r="B384" s="63" t="e">
        <f ca="1">VLOOKUP('Calculos 2'!A384,'Huella Completa'!A66:G752,4,FALSE)*
VLOOKUP('Calculos 2'!A384,'Huella Completa'!A66:G752,4,FALSE)*
_xlfn.IFS(VLOOKUP('Calculos 2'!A384,'Huella Completa'!A66:G752,5,FALSE)="normal",comida,
VLOOKUP('Calculos 2'!A384,'Huella Completa'!A66:G752,5,FALSE)="vegetariano",comidavegetariana,
VLOOKUP('Calculos 2'!A384,'Huella Completa'!A66:G752,5,FALSE)="productos locales",productos_locales )</f>
        <v>#N/A</v>
      </c>
    </row>
    <row r="385" spans="1:2">
      <c r="A385" s="63" t="s">
        <v>783</v>
      </c>
      <c r="B385" s="63" t="e">
        <f ca="1">VLOOKUP('Calculos 2'!A385,'Huella Completa'!A67:G753,4,FALSE)*
VLOOKUP('Calculos 2'!A385,'Huella Completa'!A67:G753,4,FALSE)*
_xlfn.IFS(VLOOKUP('Calculos 2'!A385,'Huella Completa'!A67:G753,5,FALSE)="normal",comida,
VLOOKUP('Calculos 2'!A385,'Huella Completa'!A67:G753,5,FALSE)="vegetariano",comidavegetariana,
VLOOKUP('Calculos 2'!A385,'Huella Completa'!A67:G753,5,FALSE)="productos locales",productos_locales )</f>
        <v>#N/A</v>
      </c>
    </row>
    <row r="386" spans="1:2">
      <c r="A386" s="63" t="s">
        <v>784</v>
      </c>
      <c r="B386" s="63" t="e">
        <f ca="1">VLOOKUP('Calculos 2'!A386,'Huella Completa'!A68:G754,4,FALSE)*
VLOOKUP('Calculos 2'!A386,'Huella Completa'!A68:G754,4,FALSE)*
_xlfn.IFS(VLOOKUP('Calculos 2'!A386,'Huella Completa'!A68:G754,5,FALSE)="normal",comida,
VLOOKUP('Calculos 2'!A386,'Huella Completa'!A68:G754,5,FALSE)="vegetariano",comidavegetariana,
VLOOKUP('Calculos 2'!A386,'Huella Completa'!A68:G754,5,FALSE)="productos locales",productos_locales )</f>
        <v>#N/A</v>
      </c>
    </row>
    <row r="387" spans="1:2">
      <c r="A387" s="63" t="s">
        <v>785</v>
      </c>
      <c r="B387" s="63" t="e">
        <f ca="1">VLOOKUP('Calculos 2'!A387,'Huella Completa'!A69:G755,4,FALSE)*
VLOOKUP('Calculos 2'!A387,'Huella Completa'!A69:G755,4,FALSE)*
_xlfn.IFS(VLOOKUP('Calculos 2'!A387,'Huella Completa'!A69:G755,5,FALSE)="normal",comida,
VLOOKUP('Calculos 2'!A387,'Huella Completa'!A69:G755,5,FALSE)="vegetariano",comidavegetariana,
VLOOKUP('Calculos 2'!A387,'Huella Completa'!A69:G755,5,FALSE)="productos locales",productos_locales )</f>
        <v>#N/A</v>
      </c>
    </row>
    <row r="388" spans="1:2">
      <c r="A388" s="63" t="s">
        <v>786</v>
      </c>
      <c r="B388" s="63" t="e">
        <f ca="1">VLOOKUP('Calculos 2'!A388,'Huella Completa'!A70:G756,4,FALSE)*
VLOOKUP('Calculos 2'!A388,'Huella Completa'!A70:G756,4,FALSE)*
_xlfn.IFS(VLOOKUP('Calculos 2'!A388,'Huella Completa'!A70:G756,5,FALSE)="normal",comida,
VLOOKUP('Calculos 2'!A388,'Huella Completa'!A70:G756,5,FALSE)="vegetariano",comidavegetariana,
VLOOKUP('Calculos 2'!A388,'Huella Completa'!A70:G756,5,FALSE)="productos locales",productos_locales )</f>
        <v>#N/A</v>
      </c>
    </row>
    <row r="389" spans="1:2">
      <c r="A389" s="63" t="s">
        <v>787</v>
      </c>
      <c r="B389" s="63" t="e">
        <f ca="1">VLOOKUP('Calculos 2'!A389,'Huella Completa'!A71:G757,4,FALSE)*
VLOOKUP('Calculos 2'!A389,'Huella Completa'!A71:G757,4,FALSE)*
_xlfn.IFS(VLOOKUP('Calculos 2'!A389,'Huella Completa'!A71:G757,5,FALSE)="normal",comida,
VLOOKUP('Calculos 2'!A389,'Huella Completa'!A71:G757,5,FALSE)="vegetariano",comidavegetariana,
VLOOKUP('Calculos 2'!A389,'Huella Completa'!A71:G757,5,FALSE)="productos locales",productos_locales )</f>
        <v>#N/A</v>
      </c>
    </row>
    <row r="390" spans="1:2">
      <c r="A390" s="63" t="s">
        <v>788</v>
      </c>
      <c r="B390" s="63" t="e">
        <f ca="1">VLOOKUP('Calculos 2'!A390,'Huella Completa'!A72:G758,4,FALSE)*
VLOOKUP('Calculos 2'!A390,'Huella Completa'!A72:G758,4,FALSE)*
_xlfn.IFS(VLOOKUP('Calculos 2'!A390,'Huella Completa'!A72:G758,5,FALSE)="normal",comida,
VLOOKUP('Calculos 2'!A390,'Huella Completa'!A72:G758,5,FALSE)="vegetariano",comidavegetariana,
VLOOKUP('Calculos 2'!A390,'Huella Completa'!A72:G758,5,FALSE)="productos locales",productos_locales )</f>
        <v>#N/A</v>
      </c>
    </row>
    <row r="391" spans="1:2">
      <c r="A391" s="63" t="s">
        <v>789</v>
      </c>
      <c r="B391" s="63" t="e">
        <f ca="1">VLOOKUP('Calculos 2'!A391,'Huella Completa'!A73:G759,4,FALSE)*
VLOOKUP('Calculos 2'!A391,'Huella Completa'!A73:G759,4,FALSE)*
_xlfn.IFS(VLOOKUP('Calculos 2'!A391,'Huella Completa'!A73:G759,5,FALSE)="normal",comida,
VLOOKUP('Calculos 2'!A391,'Huella Completa'!A73:G759,5,FALSE)="vegetariano",comidavegetariana,
VLOOKUP('Calculos 2'!A391,'Huella Completa'!A73:G759,5,FALSE)="productos locales",productos_locales )</f>
        <v>#N/A</v>
      </c>
    </row>
    <row r="392" spans="1:2">
      <c r="A392" s="63" t="s">
        <v>790</v>
      </c>
      <c r="B392" s="63" t="e">
        <f ca="1">VLOOKUP('Calculos 2'!A392,'Huella Completa'!A74:G760,4,FALSE)*
VLOOKUP('Calculos 2'!A392,'Huella Completa'!A74:G760,4,FALSE)*
_xlfn.IFS(VLOOKUP('Calculos 2'!A392,'Huella Completa'!A74:G760,5,FALSE)="normal",comida,
VLOOKUP('Calculos 2'!A392,'Huella Completa'!A74:G760,5,FALSE)="vegetariano",comidavegetariana,
VLOOKUP('Calculos 2'!A392,'Huella Completa'!A74:G760,5,FALSE)="productos locales",productos_locales )</f>
        <v>#N/A</v>
      </c>
    </row>
    <row r="393" spans="1:2">
      <c r="A393" s="63" t="s">
        <v>791</v>
      </c>
      <c r="B393" s="63" t="e">
        <f ca="1">VLOOKUP('Calculos 2'!A393,'Huella Completa'!A75:G761,4,FALSE)*
VLOOKUP('Calculos 2'!A393,'Huella Completa'!A75:G761,4,FALSE)*
_xlfn.IFS(VLOOKUP('Calculos 2'!A393,'Huella Completa'!A75:G761,5,FALSE)="normal",comida,
VLOOKUP('Calculos 2'!A393,'Huella Completa'!A75:G761,5,FALSE)="vegetariano",comidavegetariana,
VLOOKUP('Calculos 2'!A393,'Huella Completa'!A75:G761,5,FALSE)="productos locales",productos_locales )</f>
        <v>#N/A</v>
      </c>
    </row>
    <row r="394" spans="1:2">
      <c r="A394" s="63" t="s">
        <v>792</v>
      </c>
      <c r="B394" s="63" t="e">
        <f ca="1">VLOOKUP('Calculos 2'!A394,'Huella Completa'!A76:G762,4,FALSE)*
VLOOKUP('Calculos 2'!A394,'Huella Completa'!A76:G762,4,FALSE)*
_xlfn.IFS(VLOOKUP('Calculos 2'!A394,'Huella Completa'!A76:G762,5,FALSE)="normal",comida,
VLOOKUP('Calculos 2'!A394,'Huella Completa'!A76:G762,5,FALSE)="vegetariano",comidavegetariana,
VLOOKUP('Calculos 2'!A394,'Huella Completa'!A76:G762,5,FALSE)="productos locales",productos_locales )</f>
        <v>#N/A</v>
      </c>
    </row>
    <row r="395" spans="1:2">
      <c r="A395" s="63" t="s">
        <v>793</v>
      </c>
      <c r="B395" s="63" t="e">
        <f ca="1">VLOOKUP('Calculos 2'!A395,'Huella Completa'!A77:G763,4,FALSE)*
VLOOKUP('Calculos 2'!A395,'Huella Completa'!A77:G763,4,FALSE)*
_xlfn.IFS(VLOOKUP('Calculos 2'!A395,'Huella Completa'!A77:G763,5,FALSE)="normal",comida,
VLOOKUP('Calculos 2'!A395,'Huella Completa'!A77:G763,5,FALSE)="vegetariano",comidavegetariana,
VLOOKUP('Calculos 2'!A395,'Huella Completa'!A77:G763,5,FALSE)="productos locales",productos_locales )</f>
        <v>#N/A</v>
      </c>
    </row>
    <row r="396" spans="1:2">
      <c r="A396" s="63" t="s">
        <v>794</v>
      </c>
      <c r="B396" s="63" t="e">
        <f ca="1">VLOOKUP('Calculos 2'!A396,'Huella Completa'!A78:G764,4,FALSE)*
VLOOKUP('Calculos 2'!A396,'Huella Completa'!A78:G764,4,FALSE)*
_xlfn.IFS(VLOOKUP('Calculos 2'!A396,'Huella Completa'!A78:G764,5,FALSE)="normal",comida,
VLOOKUP('Calculos 2'!A396,'Huella Completa'!A78:G764,5,FALSE)="vegetariano",comidavegetariana,
VLOOKUP('Calculos 2'!A396,'Huella Completa'!A78:G764,5,FALSE)="productos locales",productos_locales )</f>
        <v>#N/A</v>
      </c>
    </row>
    <row r="397" spans="1:2">
      <c r="A397" s="63" t="s">
        <v>795</v>
      </c>
      <c r="B397" s="63" t="e">
        <f ca="1">VLOOKUP('Calculos 2'!A397,'Huella Completa'!A79:G765,4,FALSE)*
VLOOKUP('Calculos 2'!A397,'Huella Completa'!A79:G765,4,FALSE)*
_xlfn.IFS(VLOOKUP('Calculos 2'!A397,'Huella Completa'!A79:G765,5,FALSE)="normal",comida,
VLOOKUP('Calculos 2'!A397,'Huella Completa'!A79:G765,5,FALSE)="vegetariano",comidavegetariana,
VLOOKUP('Calculos 2'!A397,'Huella Completa'!A79:G765,5,FALSE)="productos locales",productos_locales )</f>
        <v>#N/A</v>
      </c>
    </row>
    <row r="398" spans="1:2">
      <c r="A398" s="63" t="s">
        <v>796</v>
      </c>
      <c r="B398" s="63" t="e">
        <f ca="1">VLOOKUP('Calculos 2'!A398,'Huella Completa'!A80:G766,4,FALSE)*
VLOOKUP('Calculos 2'!A398,'Huella Completa'!A80:G766,4,FALSE)*
_xlfn.IFS(VLOOKUP('Calculos 2'!A398,'Huella Completa'!A80:G766,5,FALSE)="normal",comida,
VLOOKUP('Calculos 2'!A398,'Huella Completa'!A80:G766,5,FALSE)="vegetariano",comidavegetariana,
VLOOKUP('Calculos 2'!A398,'Huella Completa'!A80:G766,5,FALSE)="productos locales",productos_locales )</f>
        <v>#N/A</v>
      </c>
    </row>
    <row r="399" spans="1:2">
      <c r="A399" s="63" t="s">
        <v>797</v>
      </c>
      <c r="B399" s="63" t="e">
        <f ca="1">VLOOKUP('Calculos 2'!A399,'Huella Completa'!A81:G767,4,FALSE)*
VLOOKUP('Calculos 2'!A399,'Huella Completa'!A81:G767,4,FALSE)*
_xlfn.IFS(VLOOKUP('Calculos 2'!A399,'Huella Completa'!A81:G767,5,FALSE)="normal",comida,
VLOOKUP('Calculos 2'!A399,'Huella Completa'!A81:G767,5,FALSE)="vegetariano",comidavegetariana,
VLOOKUP('Calculos 2'!A399,'Huella Completa'!A81:G767,5,FALSE)="productos locales",productos_locales )</f>
        <v>#N/A</v>
      </c>
    </row>
    <row r="400" spans="1:2">
      <c r="A400" s="63" t="s">
        <v>798</v>
      </c>
      <c r="B400" s="63" t="e">
        <f ca="1">VLOOKUP('Calculos 2'!A400,'Huella Completa'!A82:G768,4,FALSE)*
VLOOKUP('Calculos 2'!A400,'Huella Completa'!A82:G768,4,FALSE)*
_xlfn.IFS(VLOOKUP('Calculos 2'!A400,'Huella Completa'!A82:G768,5,FALSE)="normal",comida,
VLOOKUP('Calculos 2'!A400,'Huella Completa'!A82:G768,5,FALSE)="vegetariano",comidavegetariana,
VLOOKUP('Calculos 2'!A400,'Huella Completa'!A82:G768,5,FALSE)="productos locales",productos_locales )</f>
        <v>#N/A</v>
      </c>
    </row>
    <row r="401" spans="1:2">
      <c r="A401" s="63" t="s">
        <v>799</v>
      </c>
      <c r="B401" s="63" t="e">
        <f ca="1">VLOOKUP('Calculos 2'!A401,'Huella Completa'!A83:G769,4,FALSE)*
VLOOKUP('Calculos 2'!A401,'Huella Completa'!A83:G769,4,FALSE)*
_xlfn.IFS(VLOOKUP('Calculos 2'!A401,'Huella Completa'!A83:G769,5,FALSE)="normal",comida,
VLOOKUP('Calculos 2'!A401,'Huella Completa'!A83:G769,5,FALSE)="vegetariano",comidavegetariana,
VLOOKUP('Calculos 2'!A401,'Huella Completa'!A83:G769,5,FALSE)="productos locales",productos_locales )</f>
        <v>#N/A</v>
      </c>
    </row>
    <row r="402" spans="1:2">
      <c r="A402" s="63" t="s">
        <v>800</v>
      </c>
      <c r="B402" s="63" t="e">
        <f ca="1">VLOOKUP('Calculos 2'!A402,'Huella Completa'!A84:G770,4,FALSE)*
VLOOKUP('Calculos 2'!A402,'Huella Completa'!A84:G770,4,FALSE)*
_xlfn.IFS(VLOOKUP('Calculos 2'!A402,'Huella Completa'!A84:G770,5,FALSE)="normal",comida,
VLOOKUP('Calculos 2'!A402,'Huella Completa'!A84:G770,5,FALSE)="vegetariano",comidavegetariana,
VLOOKUP('Calculos 2'!A402,'Huella Completa'!A84:G770,5,FALSE)="productos locales",productos_locales )</f>
        <v>#N/A</v>
      </c>
    </row>
    <row r="403" spans="1:2">
      <c r="A403" s="63" t="s">
        <v>801</v>
      </c>
      <c r="B403" s="63" t="e">
        <f ca="1">VLOOKUP('Calculos 2'!A403,'Huella Completa'!A85:G771,4,FALSE)*
VLOOKUP('Calculos 2'!A403,'Huella Completa'!A85:G771,4,FALSE)*
_xlfn.IFS(VLOOKUP('Calculos 2'!A403,'Huella Completa'!A85:G771,5,FALSE)="normal",comida,
VLOOKUP('Calculos 2'!A403,'Huella Completa'!A85:G771,5,FALSE)="vegetariano",comidavegetariana,
VLOOKUP('Calculos 2'!A403,'Huella Completa'!A85:G771,5,FALSE)="productos locales",productos_locales )</f>
        <v>#N/A</v>
      </c>
    </row>
    <row r="404" spans="1:2">
      <c r="A404" s="63" t="s">
        <v>802</v>
      </c>
      <c r="B404" s="63" t="e">
        <f ca="1">VLOOKUP('Calculos 2'!A404,'Huella Completa'!A86:G772,4,FALSE)*
VLOOKUP('Calculos 2'!A404,'Huella Completa'!A86:G772,4,FALSE)*
_xlfn.IFS(VLOOKUP('Calculos 2'!A404,'Huella Completa'!A86:G772,5,FALSE)="normal",comida,
VLOOKUP('Calculos 2'!A404,'Huella Completa'!A86:G772,5,FALSE)="vegetariano",comidavegetariana,
VLOOKUP('Calculos 2'!A404,'Huella Completa'!A86:G772,5,FALSE)="productos locales",productos_locales )</f>
        <v>#N/A</v>
      </c>
    </row>
    <row r="405" spans="1:2">
      <c r="A405" s="63" t="s">
        <v>803</v>
      </c>
      <c r="B405" s="63" t="e">
        <f ca="1">VLOOKUP('Calculos 2'!A405,'Huella Completa'!A87:G773,4,FALSE)*
VLOOKUP('Calculos 2'!A405,'Huella Completa'!A87:G773,4,FALSE)*
_xlfn.IFS(VLOOKUP('Calculos 2'!A405,'Huella Completa'!A87:G773,5,FALSE)="normal",comida,
VLOOKUP('Calculos 2'!A405,'Huella Completa'!A87:G773,5,FALSE)="vegetariano",comidavegetariana,
VLOOKUP('Calculos 2'!A405,'Huella Completa'!A87:G773,5,FALSE)="productos locales",productos_locales )</f>
        <v>#N/A</v>
      </c>
    </row>
    <row r="406" spans="1:2">
      <c r="A406" s="63" t="s">
        <v>804</v>
      </c>
      <c r="B406" s="63" t="e">
        <f ca="1">VLOOKUP('Calculos 2'!A406,'Huella Completa'!A88:G774,4,FALSE)*
VLOOKUP('Calculos 2'!A406,'Huella Completa'!A88:G774,4,FALSE)*
_xlfn.IFS(VLOOKUP('Calculos 2'!A406,'Huella Completa'!A88:G774,5,FALSE)="normal",comida,
VLOOKUP('Calculos 2'!A406,'Huella Completa'!A88:G774,5,FALSE)="vegetariano",comidavegetariana,
VLOOKUP('Calculos 2'!A406,'Huella Completa'!A88:G774,5,FALSE)="productos locales",productos_locales )</f>
        <v>#N/A</v>
      </c>
    </row>
    <row r="407" spans="1:2">
      <c r="A407" s="63" t="s">
        <v>805</v>
      </c>
      <c r="B407" s="63" t="e">
        <f ca="1">VLOOKUP('Calculos 2'!A407,'Huella Completa'!A89:G775,4,FALSE)*
VLOOKUP('Calculos 2'!A407,'Huella Completa'!A89:G775,4,FALSE)*
_xlfn.IFS(VLOOKUP('Calculos 2'!A407,'Huella Completa'!A89:G775,5,FALSE)="normal",comida,
VLOOKUP('Calculos 2'!A407,'Huella Completa'!A89:G775,5,FALSE)="vegetariano",comidavegetariana,
VLOOKUP('Calculos 2'!A407,'Huella Completa'!A89:G775,5,FALSE)="productos locales",productos_locales )</f>
        <v>#N/A</v>
      </c>
    </row>
    <row r="408" spans="1:2">
      <c r="A408" s="63" t="s">
        <v>806</v>
      </c>
      <c r="B408" s="63" t="e">
        <f ca="1">VLOOKUP('Calculos 2'!A408,'Huella Completa'!A90:G776,4,FALSE)*
VLOOKUP('Calculos 2'!A408,'Huella Completa'!A90:G776,4,FALSE)*
_xlfn.IFS(VLOOKUP('Calculos 2'!A408,'Huella Completa'!A90:G776,5,FALSE)="normal",comida,
VLOOKUP('Calculos 2'!A408,'Huella Completa'!A90:G776,5,FALSE)="vegetariano",comidavegetariana,
VLOOKUP('Calculos 2'!A408,'Huella Completa'!A90:G776,5,FALSE)="productos locales",productos_locales )</f>
        <v>#N/A</v>
      </c>
    </row>
    <row r="409" spans="1:2">
      <c r="A409" s="63" t="s">
        <v>807</v>
      </c>
      <c r="B409" s="63" t="e">
        <f ca="1">VLOOKUP('Calculos 2'!A409,'Huella Completa'!A91:G777,4,FALSE)*
VLOOKUP('Calculos 2'!A409,'Huella Completa'!A91:G777,4,FALSE)*
_xlfn.IFS(VLOOKUP('Calculos 2'!A409,'Huella Completa'!A91:G777,5,FALSE)="normal",comida,
VLOOKUP('Calculos 2'!A409,'Huella Completa'!A91:G777,5,FALSE)="vegetariano",comidavegetariana,
VLOOKUP('Calculos 2'!A409,'Huella Completa'!A91:G777,5,FALSE)="productos locales",productos_locales )</f>
        <v>#N/A</v>
      </c>
    </row>
    <row r="410" spans="1:2">
      <c r="A410" s="63" t="s">
        <v>808</v>
      </c>
      <c r="B410" s="63" t="e">
        <f ca="1">VLOOKUP('Calculos 2'!A410,'Huella Completa'!A92:G778,4,FALSE)*
VLOOKUP('Calculos 2'!A410,'Huella Completa'!A92:G778,4,FALSE)*
_xlfn.IFS(VLOOKUP('Calculos 2'!A410,'Huella Completa'!A92:G778,5,FALSE)="normal",comida,
VLOOKUP('Calculos 2'!A410,'Huella Completa'!A92:G778,5,FALSE)="vegetariano",comidavegetariana,
VLOOKUP('Calculos 2'!A410,'Huella Completa'!A92:G778,5,FALSE)="productos locales",productos_locales )</f>
        <v>#N/A</v>
      </c>
    </row>
    <row r="411" spans="1:2">
      <c r="A411" s="63" t="s">
        <v>809</v>
      </c>
      <c r="B411" s="63" t="e">
        <f ca="1">VLOOKUP('Calculos 2'!A411,'Huella Completa'!A93:G779,4,FALSE)*
VLOOKUP('Calculos 2'!A411,'Huella Completa'!A93:G779,4,FALSE)*
_xlfn.IFS(VLOOKUP('Calculos 2'!A411,'Huella Completa'!A93:G779,5,FALSE)="normal",comida,
VLOOKUP('Calculos 2'!A411,'Huella Completa'!A93:G779,5,FALSE)="vegetariano",comidavegetariana,
VLOOKUP('Calculos 2'!A411,'Huella Completa'!A93:G779,5,FALSE)="productos locales",productos_locales )</f>
        <v>#N/A</v>
      </c>
    </row>
    <row r="412" spans="1:2">
      <c r="A412" s="63" t="s">
        <v>810</v>
      </c>
      <c r="B412" s="63" t="e">
        <f ca="1">VLOOKUP('Calculos 2'!A412,'Huella Completa'!A94:G780,4,FALSE)*
VLOOKUP('Calculos 2'!A412,'Huella Completa'!A94:G780,4,FALSE)*
_xlfn.IFS(VLOOKUP('Calculos 2'!A412,'Huella Completa'!A94:G780,5,FALSE)="normal",comida,
VLOOKUP('Calculos 2'!A412,'Huella Completa'!A94:G780,5,FALSE)="vegetariano",comidavegetariana,
VLOOKUP('Calculos 2'!A412,'Huella Completa'!A94:G780,5,FALSE)="productos locales",productos_locales )</f>
        <v>#N/A</v>
      </c>
    </row>
    <row r="413" spans="1:2">
      <c r="A413" s="63" t="s">
        <v>811</v>
      </c>
      <c r="B413" s="63" t="e">
        <f ca="1">VLOOKUP('Calculos 2'!A413,'Huella Completa'!A95:G781,4,FALSE)*
VLOOKUP('Calculos 2'!A413,'Huella Completa'!A95:G781,4,FALSE)*
_xlfn.IFS(VLOOKUP('Calculos 2'!A413,'Huella Completa'!A95:G781,5,FALSE)="normal",comida,
VLOOKUP('Calculos 2'!A413,'Huella Completa'!A95:G781,5,FALSE)="vegetariano",comidavegetariana,
VLOOKUP('Calculos 2'!A413,'Huella Completa'!A95:G781,5,FALSE)="productos locales",productos_locales )</f>
        <v>#N/A</v>
      </c>
    </row>
    <row r="414" spans="1:2">
      <c r="A414" s="63" t="s">
        <v>812</v>
      </c>
      <c r="B414" s="63" t="e">
        <f ca="1">VLOOKUP('Calculos 2'!A414,'Huella Completa'!A96:G782,4,FALSE)*
VLOOKUP('Calculos 2'!A414,'Huella Completa'!A96:G782,4,FALSE)*
_xlfn.IFS(VLOOKUP('Calculos 2'!A414,'Huella Completa'!A96:G782,5,FALSE)="normal",comida,
VLOOKUP('Calculos 2'!A414,'Huella Completa'!A96:G782,5,FALSE)="vegetariano",comidavegetariana,
VLOOKUP('Calculos 2'!A414,'Huella Completa'!A96:G782,5,FALSE)="productos locales",productos_locales )</f>
        <v>#N/A</v>
      </c>
    </row>
    <row r="415" spans="1:2">
      <c r="A415" s="63" t="s">
        <v>813</v>
      </c>
      <c r="B415" s="63" t="e">
        <f ca="1">VLOOKUP('Calculos 2'!A415,'Huella Completa'!A97:G783,4,FALSE)*
VLOOKUP('Calculos 2'!A415,'Huella Completa'!A97:G783,4,FALSE)*
_xlfn.IFS(VLOOKUP('Calculos 2'!A415,'Huella Completa'!A97:G783,5,FALSE)="normal",comida,
VLOOKUP('Calculos 2'!A415,'Huella Completa'!A97:G783,5,FALSE)="vegetariano",comidavegetariana,
VLOOKUP('Calculos 2'!A415,'Huella Completa'!A97:G783,5,FALSE)="productos locales",productos_locales )</f>
        <v>#N/A</v>
      </c>
    </row>
    <row r="416" spans="1:2">
      <c r="A416" s="63" t="s">
        <v>814</v>
      </c>
      <c r="B416" s="63" t="e">
        <f ca="1">VLOOKUP('Calculos 2'!A416,'Huella Completa'!A98:G784,4,FALSE)*
VLOOKUP('Calculos 2'!A416,'Huella Completa'!A98:G784,4,FALSE)*
_xlfn.IFS(VLOOKUP('Calculos 2'!A416,'Huella Completa'!A98:G784,5,FALSE)="normal",comida,
VLOOKUP('Calculos 2'!A416,'Huella Completa'!A98:G784,5,FALSE)="vegetariano",comidavegetariana,
VLOOKUP('Calculos 2'!A416,'Huella Completa'!A98:G784,5,FALSE)="productos locales",productos_locales )</f>
        <v>#N/A</v>
      </c>
    </row>
    <row r="417" spans="1:2">
      <c r="A417" s="63" t="s">
        <v>815</v>
      </c>
      <c r="B417" s="63" t="e">
        <f ca="1">VLOOKUP('Calculos 2'!A417,'Huella Completa'!A99:G785,4,FALSE)*
VLOOKUP('Calculos 2'!A417,'Huella Completa'!A99:G785,4,FALSE)*
_xlfn.IFS(VLOOKUP('Calculos 2'!A417,'Huella Completa'!A99:G785,5,FALSE)="normal",comida,
VLOOKUP('Calculos 2'!A417,'Huella Completa'!A99:G785,5,FALSE)="vegetariano",comidavegetariana,
VLOOKUP('Calculos 2'!A417,'Huella Completa'!A99:G785,5,FALSE)="productos locales",productos_locales )</f>
        <v>#N/A</v>
      </c>
    </row>
    <row r="418" spans="1:2">
      <c r="A418" s="63" t="s">
        <v>816</v>
      </c>
      <c r="B418" s="63" t="e">
        <f ca="1">VLOOKUP('Calculos 2'!A418,'Huella Completa'!A100:G786,4,FALSE)*
VLOOKUP('Calculos 2'!A418,'Huella Completa'!A100:G786,4,FALSE)*
_xlfn.IFS(VLOOKUP('Calculos 2'!A418,'Huella Completa'!A100:G786,5,FALSE)="normal",comida,
VLOOKUP('Calculos 2'!A418,'Huella Completa'!A100:G786,5,FALSE)="vegetariano",comidavegetariana,
VLOOKUP('Calculos 2'!A418,'Huella Completa'!A100:G786,5,FALSE)="productos locales",productos_locales )</f>
        <v>#N/A</v>
      </c>
    </row>
    <row r="419" spans="1:2">
      <c r="A419" s="63" t="s">
        <v>817</v>
      </c>
      <c r="B419" s="63" t="e">
        <f ca="1">VLOOKUP('Calculos 2'!A419,'Huella Completa'!A101:G787,4,FALSE)*
VLOOKUP('Calculos 2'!A419,'Huella Completa'!A101:G787,4,FALSE)*
_xlfn.IFS(VLOOKUP('Calculos 2'!A419,'Huella Completa'!A101:G787,5,FALSE)="normal",comida,
VLOOKUP('Calculos 2'!A419,'Huella Completa'!A101:G787,5,FALSE)="vegetariano",comidavegetariana,
VLOOKUP('Calculos 2'!A419,'Huella Completa'!A101:G787,5,FALSE)="productos locales",productos_locales )</f>
        <v>#N/A</v>
      </c>
    </row>
    <row r="420" spans="1:2">
      <c r="A420" s="63" t="s">
        <v>818</v>
      </c>
      <c r="B420" s="63" t="e">
        <f ca="1">VLOOKUP('Calculos 2'!A420,'Huella Completa'!A102:G788,4,FALSE)*
VLOOKUP('Calculos 2'!A420,'Huella Completa'!A102:G788,4,FALSE)*
_xlfn.IFS(VLOOKUP('Calculos 2'!A420,'Huella Completa'!A102:G788,5,FALSE)="normal",comida,
VLOOKUP('Calculos 2'!A420,'Huella Completa'!A102:G788,5,FALSE)="vegetariano",comidavegetariana,
VLOOKUP('Calculos 2'!A420,'Huella Completa'!A102:G788,5,FALSE)="productos locales",productos_locales )</f>
        <v>#N/A</v>
      </c>
    </row>
    <row r="421" spans="1:2">
      <c r="A421" s="63" t="s">
        <v>819</v>
      </c>
      <c r="B421" s="63" t="e">
        <f ca="1">VLOOKUP('Calculos 2'!A421,'Huella Completa'!A103:G789,4,FALSE)*
VLOOKUP('Calculos 2'!A421,'Huella Completa'!A103:G789,4,FALSE)*
_xlfn.IFS(VLOOKUP('Calculos 2'!A421,'Huella Completa'!A103:G789,5,FALSE)="normal",comida,
VLOOKUP('Calculos 2'!A421,'Huella Completa'!A103:G789,5,FALSE)="vegetariano",comidavegetariana,
VLOOKUP('Calculos 2'!A421,'Huella Completa'!A103:G789,5,FALSE)="productos locales",productos_locales )</f>
        <v>#N/A</v>
      </c>
    </row>
    <row r="422" spans="1:2">
      <c r="A422" s="63" t="s">
        <v>820</v>
      </c>
      <c r="B422" s="63" t="e">
        <f ca="1">VLOOKUP('Calculos 2'!A422,'Huella Completa'!A104:G790,4,FALSE)*
VLOOKUP('Calculos 2'!A422,'Huella Completa'!A104:G790,4,FALSE)*
_xlfn.IFS(VLOOKUP('Calculos 2'!A422,'Huella Completa'!A104:G790,5,FALSE)="normal",comida,
VLOOKUP('Calculos 2'!A422,'Huella Completa'!A104:G790,5,FALSE)="vegetariano",comidavegetariana,
VLOOKUP('Calculos 2'!A422,'Huella Completa'!A104:G790,5,FALSE)="productos locales",productos_locales )</f>
        <v>#N/A</v>
      </c>
    </row>
    <row r="423" spans="1:2">
      <c r="A423" s="63" t="s">
        <v>821</v>
      </c>
      <c r="B423" s="63" t="e">
        <f ca="1">VLOOKUP('Calculos 2'!A423,'Huella Completa'!A105:G791,4,FALSE)*
VLOOKUP('Calculos 2'!A423,'Huella Completa'!A105:G791,4,FALSE)*
_xlfn.IFS(VLOOKUP('Calculos 2'!A423,'Huella Completa'!A105:G791,5,FALSE)="normal",comida,
VLOOKUP('Calculos 2'!A423,'Huella Completa'!A105:G791,5,FALSE)="vegetariano",comidavegetariana,
VLOOKUP('Calculos 2'!A423,'Huella Completa'!A105:G791,5,FALSE)="productos locales",productos_locales )</f>
        <v>#N/A</v>
      </c>
    </row>
    <row r="424" spans="1:2">
      <c r="A424" s="63" t="s">
        <v>822</v>
      </c>
      <c r="B424" s="63" t="e">
        <f ca="1">VLOOKUP('Calculos 2'!A424,'Huella Completa'!A106:G792,4,FALSE)*
VLOOKUP('Calculos 2'!A424,'Huella Completa'!A106:G792,4,FALSE)*
_xlfn.IFS(VLOOKUP('Calculos 2'!A424,'Huella Completa'!A106:G792,5,FALSE)="normal",comida,
VLOOKUP('Calculos 2'!A424,'Huella Completa'!A106:G792,5,FALSE)="vegetariano",comidavegetariana,
VLOOKUP('Calculos 2'!A424,'Huella Completa'!A106:G792,5,FALSE)="productos locales",productos_locales )</f>
        <v>#N/A</v>
      </c>
    </row>
    <row r="425" spans="1:2">
      <c r="A425" s="63" t="s">
        <v>823</v>
      </c>
      <c r="B425" s="63" t="e">
        <f ca="1">VLOOKUP('Calculos 2'!A425,'Huella Completa'!A107:G793,4,FALSE)*
VLOOKUP('Calculos 2'!A425,'Huella Completa'!A107:G793,4,FALSE)*
_xlfn.IFS(VLOOKUP('Calculos 2'!A425,'Huella Completa'!A107:G793,5,FALSE)="normal",comida,
VLOOKUP('Calculos 2'!A425,'Huella Completa'!A107:G793,5,FALSE)="vegetariano",comidavegetariana,
VLOOKUP('Calculos 2'!A425,'Huella Completa'!A107:G793,5,FALSE)="productos locales",productos_locales )</f>
        <v>#N/A</v>
      </c>
    </row>
    <row r="426" spans="1:2">
      <c r="A426" s="63" t="s">
        <v>824</v>
      </c>
      <c r="B426" s="63" t="e">
        <f ca="1">VLOOKUP('Calculos 2'!A426,'Huella Completa'!A108:G794,4,FALSE)*
VLOOKUP('Calculos 2'!A426,'Huella Completa'!A108:G794,4,FALSE)*
_xlfn.IFS(VLOOKUP('Calculos 2'!A426,'Huella Completa'!A108:G794,5,FALSE)="normal",comida,
VLOOKUP('Calculos 2'!A426,'Huella Completa'!A108:G794,5,FALSE)="vegetariano",comidavegetariana,
VLOOKUP('Calculos 2'!A426,'Huella Completa'!A108:G794,5,FALSE)="productos locales",productos_locales )</f>
        <v>#N/A</v>
      </c>
    </row>
    <row r="427" spans="1:2">
      <c r="A427" s="63" t="s">
        <v>825</v>
      </c>
      <c r="B427" s="63" t="e">
        <f ca="1">VLOOKUP('Calculos 2'!A427,'Huella Completa'!A109:G795,4,FALSE)*
VLOOKUP('Calculos 2'!A427,'Huella Completa'!A109:G795,4,FALSE)*
_xlfn.IFS(VLOOKUP('Calculos 2'!A427,'Huella Completa'!A109:G795,5,FALSE)="normal",comida,
VLOOKUP('Calculos 2'!A427,'Huella Completa'!A109:G795,5,FALSE)="vegetariano",comidavegetariana,
VLOOKUP('Calculos 2'!A427,'Huella Completa'!A109:G795,5,FALSE)="productos locales",productos_locales )</f>
        <v>#N/A</v>
      </c>
    </row>
    <row r="428" spans="1:2">
      <c r="A428" s="63" t="s">
        <v>826</v>
      </c>
      <c r="B428" s="63" t="e">
        <f ca="1">VLOOKUP('Calculos 2'!A428,'Huella Completa'!A110:G796,4,FALSE)*
VLOOKUP('Calculos 2'!A428,'Huella Completa'!A110:G796,4,FALSE)*
_xlfn.IFS(VLOOKUP('Calculos 2'!A428,'Huella Completa'!A110:G796,5,FALSE)="normal",comida,
VLOOKUP('Calculos 2'!A428,'Huella Completa'!A110:G796,5,FALSE)="vegetariano",comidavegetariana,
VLOOKUP('Calculos 2'!A428,'Huella Completa'!A110:G796,5,FALSE)="productos locales",productos_locales )</f>
        <v>#N/A</v>
      </c>
    </row>
    <row r="429" spans="1:2">
      <c r="A429" s="63" t="s">
        <v>827</v>
      </c>
      <c r="B429" s="63" t="e">
        <f ca="1">VLOOKUP('Calculos 2'!A429,'Huella Completa'!A111:G797,4,FALSE)*
VLOOKUP('Calculos 2'!A429,'Huella Completa'!A111:G797,4,FALSE)*
_xlfn.IFS(VLOOKUP('Calculos 2'!A429,'Huella Completa'!A111:G797,5,FALSE)="normal",comida,
VLOOKUP('Calculos 2'!A429,'Huella Completa'!A111:G797,5,FALSE)="vegetariano",comidavegetariana,
VLOOKUP('Calculos 2'!A429,'Huella Completa'!A111:G797,5,FALSE)="productos locales",productos_locales )</f>
        <v>#N/A</v>
      </c>
    </row>
    <row r="430" spans="1:2">
      <c r="A430" s="63" t="s">
        <v>828</v>
      </c>
      <c r="B430" s="63" t="e">
        <f ca="1">VLOOKUP('Calculos 2'!A430,'Huella Completa'!A112:G798,4,FALSE)*
VLOOKUP('Calculos 2'!A430,'Huella Completa'!A112:G798,4,FALSE)*
_xlfn.IFS(VLOOKUP('Calculos 2'!A430,'Huella Completa'!A112:G798,5,FALSE)="normal",comida,
VLOOKUP('Calculos 2'!A430,'Huella Completa'!A112:G798,5,FALSE)="vegetariano",comidavegetariana,
VLOOKUP('Calculos 2'!A430,'Huella Completa'!A112:G798,5,FALSE)="productos locales",productos_locales )</f>
        <v>#N/A</v>
      </c>
    </row>
    <row r="431" spans="1:2">
      <c r="A431" s="63" t="s">
        <v>829</v>
      </c>
      <c r="B431" s="63" t="e">
        <f ca="1">VLOOKUP('Calculos 2'!A431,'Huella Completa'!A113:G799,4,FALSE)*
VLOOKUP('Calculos 2'!A431,'Huella Completa'!A113:G799,4,FALSE)*
_xlfn.IFS(VLOOKUP('Calculos 2'!A431,'Huella Completa'!A113:G799,5,FALSE)="normal",comida,
VLOOKUP('Calculos 2'!A431,'Huella Completa'!A113:G799,5,FALSE)="vegetariano",comidavegetariana,
VLOOKUP('Calculos 2'!A431,'Huella Completa'!A113:G799,5,FALSE)="productos locales",productos_locales )</f>
        <v>#N/A</v>
      </c>
    </row>
    <row r="432" spans="1:2">
      <c r="A432" s="63" t="s">
        <v>830</v>
      </c>
      <c r="B432" s="63" t="e">
        <f ca="1">VLOOKUP('Calculos 2'!A432,'Huella Completa'!A114:G800,4,FALSE)*
VLOOKUP('Calculos 2'!A432,'Huella Completa'!A114:G800,4,FALSE)*
_xlfn.IFS(VLOOKUP('Calculos 2'!A432,'Huella Completa'!A114:G800,5,FALSE)="normal",comida,
VLOOKUP('Calculos 2'!A432,'Huella Completa'!A114:G800,5,FALSE)="vegetariano",comidavegetariana,
VLOOKUP('Calculos 2'!A432,'Huella Completa'!A114:G800,5,FALSE)="productos locales",productos_locales )</f>
        <v>#N/A</v>
      </c>
    </row>
    <row r="433" spans="1:26">
      <c r="A433" s="63" t="s">
        <v>831</v>
      </c>
      <c r="B433" s="63" t="e">
        <f ca="1">VLOOKUP('Calculos 2'!A433,'Huella Completa'!A115:G801,4,FALSE)*
VLOOKUP('Calculos 2'!A433,'Huella Completa'!A115:G801,4,FALSE)*
_xlfn.IFS(VLOOKUP('Calculos 2'!A433,'Huella Completa'!A115:G801,5,FALSE)="normal",comida,
VLOOKUP('Calculos 2'!A433,'Huella Completa'!A115:G801,5,FALSE)="vegetariano",comidavegetariana,
VLOOKUP('Calculos 2'!A433,'Huella Completa'!A115:G801,5,FALSE)="productos locales",productos_locales )</f>
        <v>#N/A</v>
      </c>
    </row>
    <row r="434" spans="1:26" s="2" customFormat="1">
      <c r="A434" s="97" t="s">
        <v>1034</v>
      </c>
      <c r="B434" s="97"/>
      <c r="C434" s="97" t="e">
        <f ca="1">_xlfn.AGGREGATE(9,6,B334:B433)</f>
        <v>#NAME?</v>
      </c>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6" spans="1:26">
      <c r="A436" s="63" t="s">
        <v>739</v>
      </c>
      <c r="B436" s="63">
        <f>VLOOKUP('Calculos 2'!A436,'Huella Completa'!A16:G702,3,FALSE)*(IF(VLOOKUP('Calculos 2'!A436,'Huella Completa'!A16:G702,4,FALSE)="Gasolina",Gasolina,IF(VLOOKUP('Calculos 2'!A436,'Huella Completa'!A16:G702,4,FALSE)="Diesel",Diesel,IF(VLOOKUP('Calculos 2'!A436,'Huella Completa'!A16:G702,4,FALSE)="GLP",GLP,0))))</f>
        <v>0</v>
      </c>
    </row>
    <row r="437" spans="1:26">
      <c r="A437" s="63" t="s">
        <v>740</v>
      </c>
      <c r="B437" s="63">
        <f>VLOOKUP('Calculos 2'!A437,'Huella Completa'!A17:G703,3,FALSE)*(IF(VLOOKUP('Calculos 2'!A437,'Huella Completa'!A17:G703,4,FALSE)="Gasolina",Gasolina,IF(VLOOKUP('Calculos 2'!A437,'Huella Completa'!A17:G703,4,FALSE)="Diesel",Diesel,IF(VLOOKUP('Calculos 2'!A437,'Huella Completa'!A17:G703,4,FALSE)="GLP",GLP,0))))</f>
        <v>0</v>
      </c>
    </row>
    <row r="438" spans="1:26">
      <c r="A438" s="63" t="s">
        <v>741</v>
      </c>
      <c r="B438" s="63">
        <f>VLOOKUP('Calculos 2'!A438,'Huella Completa'!A18:G704,3,FALSE)*(IF(VLOOKUP('Calculos 2'!A438,'Huella Completa'!A18:G704,4,FALSE)="Gasolina",Gasolina,IF(VLOOKUP('Calculos 2'!A438,'Huella Completa'!A18:G704,4,FALSE)="Diesel",Diesel,IF(VLOOKUP('Calculos 2'!A438,'Huella Completa'!A18:G704,4,FALSE)="GLP",GLP,0))))</f>
        <v>0</v>
      </c>
    </row>
    <row r="439" spans="1:26">
      <c r="A439" s="63" t="s">
        <v>832</v>
      </c>
      <c r="B439" s="63" t="e">
        <f>VLOOKUP('Calculos 2'!A439,'Huella Completa'!A19:G705,3,FALSE)*(IF(VLOOKUP('Calculos 2'!A439,'Huella Completa'!A19:G705,4,FALSE)="Gasolina",Gasolina,IF(VLOOKUP('Calculos 2'!A439,'Huella Completa'!A19:G705,4,FALSE)="Diesel",Diesel,IF(VLOOKUP('Calculos 2'!A439,'Huella Completa'!A19:G705,4,FALSE)="GLP",GLP,0))))</f>
        <v>#N/A</v>
      </c>
    </row>
    <row r="440" spans="1:26">
      <c r="A440" s="63" t="s">
        <v>833</v>
      </c>
      <c r="B440" s="63" t="e">
        <f>VLOOKUP('Calculos 2'!A440,'Huella Completa'!A20:G706,3,FALSE)*(IF(VLOOKUP('Calculos 2'!A440,'Huella Completa'!A20:G706,4,FALSE)="Gasolina",Gasolina,IF(VLOOKUP('Calculos 2'!A440,'Huella Completa'!A20:G706,4,FALSE)="Diesel",Diesel,IF(VLOOKUP('Calculos 2'!A440,'Huella Completa'!A20:G706,4,FALSE)="GLP",GLP,0))))</f>
        <v>#N/A</v>
      </c>
    </row>
    <row r="441" spans="1:26">
      <c r="A441" s="63" t="s">
        <v>834</v>
      </c>
      <c r="B441" s="63" t="e">
        <f>VLOOKUP('Calculos 2'!A441,'Huella Completa'!A21:G707,3,FALSE)*(IF(VLOOKUP('Calculos 2'!A441,'Huella Completa'!A21:G707,4,FALSE)="Gasolina",Gasolina,IF(VLOOKUP('Calculos 2'!A441,'Huella Completa'!A21:G707,4,FALSE)="Diesel",Diesel,IF(VLOOKUP('Calculos 2'!A441,'Huella Completa'!A21:G707,4,FALSE)="GLP",GLP,0))))</f>
        <v>#N/A</v>
      </c>
    </row>
    <row r="442" spans="1:26">
      <c r="A442" s="63" t="s">
        <v>835</v>
      </c>
      <c r="B442" s="63" t="e">
        <f>VLOOKUP('Calculos 2'!A442,'Huella Completa'!A23:G708,3,FALSE)*(IF(VLOOKUP('Calculos 2'!A442,'Huella Completa'!A23:G708,4,FALSE)="Gasolina",Gasolina,IF(VLOOKUP('Calculos 2'!A442,'Huella Completa'!A23:G708,4,FALSE)="Diesel",Diesel,IF(VLOOKUP('Calculos 2'!A442,'Huella Completa'!A23:G708,4,FALSE)="GLP",GLP,0))))</f>
        <v>#N/A</v>
      </c>
    </row>
    <row r="443" spans="1:26">
      <c r="A443" s="63" t="s">
        <v>836</v>
      </c>
      <c r="B443" s="63" t="e">
        <f>VLOOKUP('Calculos 2'!A443,'Huella Completa'!A24:G709,3,FALSE)*(IF(VLOOKUP('Calculos 2'!A443,'Huella Completa'!A24:G709,4,FALSE)="Gasolina",Gasolina,IF(VLOOKUP('Calculos 2'!A443,'Huella Completa'!A24:G709,4,FALSE)="Diesel",Diesel,IF(VLOOKUP('Calculos 2'!A443,'Huella Completa'!A24:G709,4,FALSE)="GLP",GLP,0))))</f>
        <v>#N/A</v>
      </c>
    </row>
    <row r="444" spans="1:26">
      <c r="A444" s="63" t="s">
        <v>837</v>
      </c>
      <c r="B444" s="63" t="e">
        <f>VLOOKUP('Calculos 2'!A444,'Huella Completa'!A25:G710,3,FALSE)*(IF(VLOOKUP('Calculos 2'!A444,'Huella Completa'!A25:G710,4,FALSE)="Gasolina",Gasolina,IF(VLOOKUP('Calculos 2'!A444,'Huella Completa'!A25:G710,4,FALSE)="Diesel",Diesel,IF(VLOOKUP('Calculos 2'!A444,'Huella Completa'!A25:G710,4,FALSE)="GLP",GLP,0))))</f>
        <v>#N/A</v>
      </c>
    </row>
    <row r="445" spans="1:26">
      <c r="A445" s="63" t="s">
        <v>838</v>
      </c>
      <c r="B445" s="63" t="e">
        <f>VLOOKUP('Calculos 2'!A445,'Huella Completa'!A26:G711,3,FALSE)*(IF(VLOOKUP('Calculos 2'!A445,'Huella Completa'!A26:G711,4,FALSE)="Gasolina",Gasolina,IF(VLOOKUP('Calculos 2'!A445,'Huella Completa'!A26:G711,4,FALSE)="Diesel",Diesel,IF(VLOOKUP('Calculos 2'!A445,'Huella Completa'!A26:G711,4,FALSE)="GLP",GLP,0))))</f>
        <v>#N/A</v>
      </c>
    </row>
    <row r="446" spans="1:26">
      <c r="A446" s="63" t="s">
        <v>839</v>
      </c>
      <c r="B446" s="63" t="e">
        <f>VLOOKUP('Calculos 2'!A446,'Huella Completa'!A34:G712,3,FALSE)*(IF(VLOOKUP('Calculos 2'!A446,'Huella Completa'!A34:G712,4,FALSE)="Gasolina",Gasolina,IF(VLOOKUP('Calculos 2'!A446,'Huella Completa'!A34:G712,4,FALSE)="Diesel",Diesel,IF(VLOOKUP('Calculos 2'!A446,'Huella Completa'!A34:G712,4,FALSE)="GLP",GLP,0))))</f>
        <v>#N/A</v>
      </c>
    </row>
    <row r="447" spans="1:26">
      <c r="A447" s="63" t="s">
        <v>840</v>
      </c>
      <c r="B447" s="63" t="e">
        <f>VLOOKUP('Calculos 2'!A447,'Huella Completa'!A35:G713,3,FALSE)*(IF(VLOOKUP('Calculos 2'!A447,'Huella Completa'!A35:G713,4,FALSE)="Gasolina",Gasolina,IF(VLOOKUP('Calculos 2'!A447,'Huella Completa'!A35:G713,4,FALSE)="Diesel",Diesel,IF(VLOOKUP('Calculos 2'!A447,'Huella Completa'!A35:G713,4,FALSE)="GLP",GLP,0))))</f>
        <v>#N/A</v>
      </c>
    </row>
    <row r="448" spans="1:26">
      <c r="A448" s="63" t="s">
        <v>841</v>
      </c>
      <c r="B448" s="63" t="e">
        <f>VLOOKUP('Calculos 2'!A448,'Huella Completa'!A36:G714,3,FALSE)*(IF(VLOOKUP('Calculos 2'!A448,'Huella Completa'!A36:G714,4,FALSE)="Gasolina",Gasolina,IF(VLOOKUP('Calculos 2'!A448,'Huella Completa'!A36:G714,4,FALSE)="Diesel",Diesel,IF(VLOOKUP('Calculos 2'!A448,'Huella Completa'!A36:G714,4,FALSE)="GLP",GLP,0))))</f>
        <v>#N/A</v>
      </c>
    </row>
    <row r="449" spans="1:2">
      <c r="A449" s="63" t="s">
        <v>842</v>
      </c>
      <c r="B449" s="63" t="e">
        <f>VLOOKUP('Calculos 2'!A449,'Huella Completa'!A37:G715,3,FALSE)*(IF(VLOOKUP('Calculos 2'!A449,'Huella Completa'!A37:G715,4,FALSE)="Gasolina",Gasolina,IF(VLOOKUP('Calculos 2'!A449,'Huella Completa'!A37:G715,4,FALSE)="Diesel",Diesel,IF(VLOOKUP('Calculos 2'!A449,'Huella Completa'!A37:G715,4,FALSE)="GLP",GLP,0))))</f>
        <v>#N/A</v>
      </c>
    </row>
    <row r="450" spans="1:2">
      <c r="A450" s="63" t="s">
        <v>843</v>
      </c>
      <c r="B450" s="63" t="e">
        <f>VLOOKUP('Calculos 2'!A450,'Huella Completa'!A38:G716,3,FALSE)*(IF(VLOOKUP('Calculos 2'!A450,'Huella Completa'!A38:G716,4,FALSE)="Gasolina",Gasolina,IF(VLOOKUP('Calculos 2'!A450,'Huella Completa'!A38:G716,4,FALSE)="Diesel",Diesel,IF(VLOOKUP('Calculos 2'!A450,'Huella Completa'!A38:G716,4,FALSE)="GLP",GLP,0))))</f>
        <v>#N/A</v>
      </c>
    </row>
    <row r="451" spans="1:2">
      <c r="A451" s="63" t="s">
        <v>844</v>
      </c>
      <c r="B451" s="63" t="e">
        <f>VLOOKUP('Calculos 2'!A451,'Huella Completa'!A39:G717,3,FALSE)*(IF(VLOOKUP('Calculos 2'!A451,'Huella Completa'!A39:G717,4,FALSE)="Gasolina",Gasolina,IF(VLOOKUP('Calculos 2'!A451,'Huella Completa'!A39:G717,4,FALSE)="Diesel",Diesel,IF(VLOOKUP('Calculos 2'!A451,'Huella Completa'!A39:G717,4,FALSE)="GLP",GLP,0))))</f>
        <v>#N/A</v>
      </c>
    </row>
    <row r="452" spans="1:2">
      <c r="A452" s="63" t="s">
        <v>845</v>
      </c>
      <c r="B452" s="63" t="e">
        <f>VLOOKUP('Calculos 2'!A452,'Huella Completa'!A40:G718,3,FALSE)*(IF(VLOOKUP('Calculos 2'!A452,'Huella Completa'!A40:G718,4,FALSE)="Gasolina",Gasolina,IF(VLOOKUP('Calculos 2'!A452,'Huella Completa'!A40:G718,4,FALSE)="Diesel",Diesel,IF(VLOOKUP('Calculos 2'!A452,'Huella Completa'!A40:G718,4,FALSE)="GLP",GLP,0))))</f>
        <v>#N/A</v>
      </c>
    </row>
    <row r="453" spans="1:2">
      <c r="A453" s="63" t="s">
        <v>846</v>
      </c>
      <c r="B453" s="63" t="e">
        <f>VLOOKUP('Calculos 2'!A453,'Huella Completa'!A41:G719,3,FALSE)*(IF(VLOOKUP('Calculos 2'!A453,'Huella Completa'!A41:G719,4,FALSE)="Gasolina",Gasolina,IF(VLOOKUP('Calculos 2'!A453,'Huella Completa'!A41:G719,4,FALSE)="Diesel",Diesel,IF(VLOOKUP('Calculos 2'!A453,'Huella Completa'!A41:G719,4,FALSE)="GLP",GLP,0))))</f>
        <v>#N/A</v>
      </c>
    </row>
    <row r="454" spans="1:2">
      <c r="A454" s="63" t="s">
        <v>847</v>
      </c>
      <c r="B454" s="63" t="e">
        <f>VLOOKUP('Calculos 2'!A454,'Huella Completa'!A42:G720,3,FALSE)*(IF(VLOOKUP('Calculos 2'!A454,'Huella Completa'!A42:G720,4,FALSE)="Gasolina",Gasolina,IF(VLOOKUP('Calculos 2'!A454,'Huella Completa'!A42:G720,4,FALSE)="Diesel",Diesel,IF(VLOOKUP('Calculos 2'!A454,'Huella Completa'!A42:G720,4,FALSE)="GLP",GLP,0))))</f>
        <v>#N/A</v>
      </c>
    </row>
    <row r="455" spans="1:2">
      <c r="A455" s="63" t="s">
        <v>848</v>
      </c>
      <c r="B455" s="63" t="e">
        <f>VLOOKUP('Calculos 2'!A455,'Huella Completa'!A43:G721,3,FALSE)*(IF(VLOOKUP('Calculos 2'!A455,'Huella Completa'!A43:G721,4,FALSE)="Gasolina",Gasolina,IF(VLOOKUP('Calculos 2'!A455,'Huella Completa'!A43:G721,4,FALSE)="Diesel",Diesel,IF(VLOOKUP('Calculos 2'!A455,'Huella Completa'!A43:G721,4,FALSE)="GLP",GLP,0))))</f>
        <v>#N/A</v>
      </c>
    </row>
    <row r="456" spans="1:2">
      <c r="A456" s="63" t="s">
        <v>849</v>
      </c>
      <c r="B456" s="63" t="e">
        <f>VLOOKUP('Calculos 2'!A456,'Huella Completa'!A44:G722,3,FALSE)*(IF(VLOOKUP('Calculos 2'!A456,'Huella Completa'!A44:G722,4,FALSE)="Gasolina",Gasolina,IF(VLOOKUP('Calculos 2'!A456,'Huella Completa'!A44:G722,4,FALSE)="Diesel",Diesel,IF(VLOOKUP('Calculos 2'!A456,'Huella Completa'!A44:G722,4,FALSE)="GLP",GLP,0))))</f>
        <v>#N/A</v>
      </c>
    </row>
    <row r="457" spans="1:2">
      <c r="A457" s="63" t="s">
        <v>850</v>
      </c>
      <c r="B457" s="63" t="e">
        <f>VLOOKUP('Calculos 2'!A457,'Huella Completa'!A45:G723,3,FALSE)*(IF(VLOOKUP('Calculos 2'!A457,'Huella Completa'!A45:G723,4,FALSE)="Gasolina",Gasolina,IF(VLOOKUP('Calculos 2'!A457,'Huella Completa'!A45:G723,4,FALSE)="Diesel",Diesel,IF(VLOOKUP('Calculos 2'!A457,'Huella Completa'!A45:G723,4,FALSE)="GLP",GLP,0))))</f>
        <v>#N/A</v>
      </c>
    </row>
    <row r="458" spans="1:2">
      <c r="A458" s="63" t="s">
        <v>851</v>
      </c>
      <c r="B458" s="63" t="e">
        <f>VLOOKUP('Calculos 2'!A458,'Huella Completa'!A46:G724,3,FALSE)*(IF(VLOOKUP('Calculos 2'!A458,'Huella Completa'!A46:G724,4,FALSE)="Gasolina",Gasolina,IF(VLOOKUP('Calculos 2'!A458,'Huella Completa'!A46:G724,4,FALSE)="Diesel",Diesel,IF(VLOOKUP('Calculos 2'!A458,'Huella Completa'!A46:G724,4,FALSE)="GLP",GLP,0))))</f>
        <v>#N/A</v>
      </c>
    </row>
    <row r="459" spans="1:2">
      <c r="A459" s="63" t="s">
        <v>852</v>
      </c>
      <c r="B459" s="63" t="e">
        <f>VLOOKUP('Calculos 2'!A459,'Huella Completa'!A47:G725,3,FALSE)*(IF(VLOOKUP('Calculos 2'!A459,'Huella Completa'!A47:G725,4,FALSE)="Gasolina",Gasolina,IF(VLOOKUP('Calculos 2'!A459,'Huella Completa'!A47:G725,4,FALSE)="Diesel",Diesel,IF(VLOOKUP('Calculos 2'!A459,'Huella Completa'!A47:G725,4,FALSE)="GLP",GLP,0))))</f>
        <v>#N/A</v>
      </c>
    </row>
    <row r="460" spans="1:2">
      <c r="A460" s="63" t="s">
        <v>853</v>
      </c>
      <c r="B460" s="63" t="e">
        <f>VLOOKUP('Calculos 2'!A460,'Huella Completa'!A48:G726,3,FALSE)*(IF(VLOOKUP('Calculos 2'!A460,'Huella Completa'!A48:G726,4,FALSE)="Gasolina",Gasolina,IF(VLOOKUP('Calculos 2'!A460,'Huella Completa'!A48:G726,4,FALSE)="Diesel",Diesel,IF(VLOOKUP('Calculos 2'!A460,'Huella Completa'!A48:G726,4,FALSE)="GLP",GLP,0))))</f>
        <v>#N/A</v>
      </c>
    </row>
    <row r="461" spans="1:2">
      <c r="A461" s="63" t="s">
        <v>854</v>
      </c>
      <c r="B461" s="63" t="e">
        <f>VLOOKUP('Calculos 2'!A461,'Huella Completa'!A49:G727,3,FALSE)*(IF(VLOOKUP('Calculos 2'!A461,'Huella Completa'!A49:G727,4,FALSE)="Gasolina",Gasolina,IF(VLOOKUP('Calculos 2'!A461,'Huella Completa'!A49:G727,4,FALSE)="Diesel",Diesel,IF(VLOOKUP('Calculos 2'!A461,'Huella Completa'!A49:G727,4,FALSE)="GLP",GLP,0))))</f>
        <v>#N/A</v>
      </c>
    </row>
    <row r="462" spans="1:2">
      <c r="A462" s="63" t="s">
        <v>855</v>
      </c>
      <c r="B462" s="63" t="e">
        <f>VLOOKUP('Calculos 2'!A462,'Huella Completa'!A50:G728,3,FALSE)*(IF(VLOOKUP('Calculos 2'!A462,'Huella Completa'!A50:G728,4,FALSE)="Gasolina",Gasolina,IF(VLOOKUP('Calculos 2'!A462,'Huella Completa'!A50:G728,4,FALSE)="Diesel",Diesel,IF(VLOOKUP('Calculos 2'!A462,'Huella Completa'!A50:G728,4,FALSE)="GLP",GLP,0))))</f>
        <v>#N/A</v>
      </c>
    </row>
    <row r="463" spans="1:2">
      <c r="A463" s="63" t="s">
        <v>856</v>
      </c>
      <c r="B463" s="63" t="e">
        <f>VLOOKUP('Calculos 2'!A463,'Huella Completa'!A51:G729,3,FALSE)*(IF(VLOOKUP('Calculos 2'!A463,'Huella Completa'!A51:G729,4,FALSE)="Gasolina",Gasolina,IF(VLOOKUP('Calculos 2'!A463,'Huella Completa'!A51:G729,4,FALSE)="Diesel",Diesel,IF(VLOOKUP('Calculos 2'!A463,'Huella Completa'!A51:G729,4,FALSE)="GLP",GLP,0))))</f>
        <v>#N/A</v>
      </c>
    </row>
    <row r="464" spans="1:2">
      <c r="A464" s="63" t="s">
        <v>857</v>
      </c>
      <c r="B464" s="63" t="e">
        <f>VLOOKUP('Calculos 2'!A464,'Huella Completa'!A52:G730,3,FALSE)*(IF(VLOOKUP('Calculos 2'!A464,'Huella Completa'!A52:G730,4,FALSE)="Gasolina",Gasolina,IF(VLOOKUP('Calculos 2'!A464,'Huella Completa'!A52:G730,4,FALSE)="Diesel",Diesel,IF(VLOOKUP('Calculos 2'!A464,'Huella Completa'!A52:G730,4,FALSE)="GLP",GLP,0))))</f>
        <v>#N/A</v>
      </c>
    </row>
    <row r="465" spans="1:2">
      <c r="A465" s="63" t="s">
        <v>858</v>
      </c>
      <c r="B465" s="63" t="e">
        <f>VLOOKUP('Calculos 2'!A465,'Huella Completa'!A53:G731,3,FALSE)*(IF(VLOOKUP('Calculos 2'!A465,'Huella Completa'!A53:G731,4,FALSE)="Gasolina",Gasolina,IF(VLOOKUP('Calculos 2'!A465,'Huella Completa'!A53:G731,4,FALSE)="Diesel",Diesel,IF(VLOOKUP('Calculos 2'!A465,'Huella Completa'!A53:G731,4,FALSE)="GLP",GLP,0))))</f>
        <v>#N/A</v>
      </c>
    </row>
    <row r="466" spans="1:2">
      <c r="A466" s="63" t="s">
        <v>859</v>
      </c>
      <c r="B466" s="63" t="e">
        <f>VLOOKUP('Calculos 2'!A466,'Huella Completa'!A54:G732,3,FALSE)*(IF(VLOOKUP('Calculos 2'!A466,'Huella Completa'!A54:G732,4,FALSE)="Gasolina",Gasolina,IF(VLOOKUP('Calculos 2'!A466,'Huella Completa'!A54:G732,4,FALSE)="Diesel",Diesel,IF(VLOOKUP('Calculos 2'!A466,'Huella Completa'!A54:G732,4,FALSE)="GLP",GLP,0))))</f>
        <v>#N/A</v>
      </c>
    </row>
    <row r="467" spans="1:2">
      <c r="A467" s="63" t="s">
        <v>860</v>
      </c>
      <c r="B467" s="63" t="e">
        <f>VLOOKUP('Calculos 2'!A467,'Huella Completa'!A55:G733,3,FALSE)*(IF(VLOOKUP('Calculos 2'!A467,'Huella Completa'!A55:G733,4,FALSE)="Gasolina",Gasolina,IF(VLOOKUP('Calculos 2'!A467,'Huella Completa'!A55:G733,4,FALSE)="Diesel",Diesel,IF(VLOOKUP('Calculos 2'!A467,'Huella Completa'!A55:G733,4,FALSE)="GLP",GLP,0))))</f>
        <v>#N/A</v>
      </c>
    </row>
    <row r="468" spans="1:2">
      <c r="A468" s="63" t="s">
        <v>861</v>
      </c>
      <c r="B468" s="63" t="e">
        <f>VLOOKUP('Calculos 2'!A468,'Huella Completa'!A56:G734,3,FALSE)*(IF(VLOOKUP('Calculos 2'!A468,'Huella Completa'!A56:G734,4,FALSE)="Gasolina",Gasolina,IF(VLOOKUP('Calculos 2'!A468,'Huella Completa'!A56:G734,4,FALSE)="Diesel",Diesel,IF(VLOOKUP('Calculos 2'!A468,'Huella Completa'!A56:G734,4,FALSE)="GLP",GLP,0))))</f>
        <v>#N/A</v>
      </c>
    </row>
    <row r="469" spans="1:2">
      <c r="A469" s="63" t="s">
        <v>862</v>
      </c>
      <c r="B469" s="63" t="e">
        <f>VLOOKUP('Calculos 2'!A469,'Huella Completa'!A57:G735,3,FALSE)*(IF(VLOOKUP('Calculos 2'!A469,'Huella Completa'!A57:G735,4,FALSE)="Gasolina",Gasolina,IF(VLOOKUP('Calculos 2'!A469,'Huella Completa'!A57:G735,4,FALSE)="Diesel",Diesel,IF(VLOOKUP('Calculos 2'!A469,'Huella Completa'!A57:G735,4,FALSE)="GLP",GLP,0))))</f>
        <v>#N/A</v>
      </c>
    </row>
    <row r="470" spans="1:2">
      <c r="A470" s="63" t="s">
        <v>863</v>
      </c>
      <c r="B470" s="63" t="e">
        <f>VLOOKUP('Calculos 2'!A470,'Huella Completa'!A58:G736,3,FALSE)*(IF(VLOOKUP('Calculos 2'!A470,'Huella Completa'!A58:G736,4,FALSE)="Gasolina",Gasolina,IF(VLOOKUP('Calculos 2'!A470,'Huella Completa'!A58:G736,4,FALSE)="Diesel",Diesel,IF(VLOOKUP('Calculos 2'!A470,'Huella Completa'!A58:G736,4,FALSE)="GLP",GLP,0))))</f>
        <v>#N/A</v>
      </c>
    </row>
    <row r="471" spans="1:2">
      <c r="A471" s="63" t="s">
        <v>864</v>
      </c>
      <c r="B471" s="63" t="e">
        <f>VLOOKUP('Calculos 2'!A471,'Huella Completa'!A59:G737,3,FALSE)*(IF(VLOOKUP('Calculos 2'!A471,'Huella Completa'!A59:G737,4,FALSE)="Gasolina",Gasolina,IF(VLOOKUP('Calculos 2'!A471,'Huella Completa'!A59:G737,4,FALSE)="Diesel",Diesel,IF(VLOOKUP('Calculos 2'!A471,'Huella Completa'!A59:G737,4,FALSE)="GLP",GLP,0))))</f>
        <v>#N/A</v>
      </c>
    </row>
    <row r="472" spans="1:2">
      <c r="A472" s="63" t="s">
        <v>865</v>
      </c>
      <c r="B472" s="63" t="e">
        <f>VLOOKUP('Calculos 2'!A472,'Huella Completa'!A60:G738,3,FALSE)*(IF(VLOOKUP('Calculos 2'!A472,'Huella Completa'!A60:G738,4,FALSE)="Gasolina",Gasolina,IF(VLOOKUP('Calculos 2'!A472,'Huella Completa'!A60:G738,4,FALSE)="Diesel",Diesel,IF(VLOOKUP('Calculos 2'!A472,'Huella Completa'!A60:G738,4,FALSE)="GLP",GLP,0))))</f>
        <v>#N/A</v>
      </c>
    </row>
    <row r="473" spans="1:2">
      <c r="A473" s="63" t="s">
        <v>866</v>
      </c>
      <c r="B473" s="63" t="e">
        <f>VLOOKUP('Calculos 2'!A473,'Huella Completa'!A61:G739,3,FALSE)*(IF(VLOOKUP('Calculos 2'!A473,'Huella Completa'!A61:G739,4,FALSE)="Gasolina",Gasolina,IF(VLOOKUP('Calculos 2'!A473,'Huella Completa'!A61:G739,4,FALSE)="Diesel",Diesel,IF(VLOOKUP('Calculos 2'!A473,'Huella Completa'!A61:G739,4,FALSE)="GLP",GLP,0))))</f>
        <v>#N/A</v>
      </c>
    </row>
    <row r="474" spans="1:2">
      <c r="A474" s="63" t="s">
        <v>867</v>
      </c>
      <c r="B474" s="63" t="e">
        <f>VLOOKUP('Calculos 2'!A474,'Huella Completa'!A62:G740,3,FALSE)*(IF(VLOOKUP('Calculos 2'!A474,'Huella Completa'!A62:G740,4,FALSE)="Gasolina",Gasolina,IF(VLOOKUP('Calculos 2'!A474,'Huella Completa'!A62:G740,4,FALSE)="Diesel",Diesel,IF(VLOOKUP('Calculos 2'!A474,'Huella Completa'!A62:G740,4,FALSE)="GLP",GLP,0))))</f>
        <v>#N/A</v>
      </c>
    </row>
    <row r="475" spans="1:2">
      <c r="A475" s="63" t="s">
        <v>868</v>
      </c>
      <c r="B475" s="63" t="e">
        <f>VLOOKUP('Calculos 2'!A475,'Huella Completa'!A63:G741,3,FALSE)*(IF(VLOOKUP('Calculos 2'!A475,'Huella Completa'!A63:G741,4,FALSE)="Gasolina",Gasolina,IF(VLOOKUP('Calculos 2'!A475,'Huella Completa'!A63:G741,4,FALSE)="Diesel",Diesel,IF(VLOOKUP('Calculos 2'!A475,'Huella Completa'!A63:G741,4,FALSE)="GLP",GLP,0))))</f>
        <v>#N/A</v>
      </c>
    </row>
    <row r="476" spans="1:2">
      <c r="A476" s="63" t="s">
        <v>869</v>
      </c>
      <c r="B476" s="63" t="e">
        <f>VLOOKUP('Calculos 2'!A476,'Huella Completa'!A64:G742,3,FALSE)*(IF(VLOOKUP('Calculos 2'!A476,'Huella Completa'!A64:G742,4,FALSE)="Gasolina",Gasolina,IF(VLOOKUP('Calculos 2'!A476,'Huella Completa'!A64:G742,4,FALSE)="Diesel",Diesel,IF(VLOOKUP('Calculos 2'!A476,'Huella Completa'!A64:G742,4,FALSE)="GLP",GLP,0))))</f>
        <v>#N/A</v>
      </c>
    </row>
    <row r="477" spans="1:2">
      <c r="A477" s="63" t="s">
        <v>870</v>
      </c>
      <c r="B477" s="63" t="e">
        <f>VLOOKUP('Calculos 2'!A477,'Huella Completa'!A65:G743,3,FALSE)*(IF(VLOOKUP('Calculos 2'!A477,'Huella Completa'!A65:G743,4,FALSE)="Gasolina",Gasolina,IF(VLOOKUP('Calculos 2'!A477,'Huella Completa'!A65:G743,4,FALSE)="Diesel",Diesel,IF(VLOOKUP('Calculos 2'!A477,'Huella Completa'!A65:G743,4,FALSE)="GLP",GLP,0))))</f>
        <v>#N/A</v>
      </c>
    </row>
    <row r="478" spans="1:2">
      <c r="A478" s="63" t="s">
        <v>871</v>
      </c>
      <c r="B478" s="63" t="e">
        <f>VLOOKUP('Calculos 2'!A478,'Huella Completa'!A66:G744,3,FALSE)*(IF(VLOOKUP('Calculos 2'!A478,'Huella Completa'!A66:G744,4,FALSE)="Gasolina",Gasolina,IF(VLOOKUP('Calculos 2'!A478,'Huella Completa'!A66:G744,4,FALSE)="Diesel",Diesel,IF(VLOOKUP('Calculos 2'!A478,'Huella Completa'!A66:G744,4,FALSE)="GLP",GLP,0))))</f>
        <v>#N/A</v>
      </c>
    </row>
    <row r="479" spans="1:2">
      <c r="A479" s="63" t="s">
        <v>872</v>
      </c>
      <c r="B479" s="63" t="e">
        <f>VLOOKUP('Calculos 2'!A479,'Huella Completa'!A67:G745,3,FALSE)*(IF(VLOOKUP('Calculos 2'!A479,'Huella Completa'!A67:G745,4,FALSE)="Gasolina",Gasolina,IF(VLOOKUP('Calculos 2'!A479,'Huella Completa'!A67:G745,4,FALSE)="Diesel",Diesel,IF(VLOOKUP('Calculos 2'!A479,'Huella Completa'!A67:G745,4,FALSE)="GLP",GLP,0))))</f>
        <v>#N/A</v>
      </c>
    </row>
    <row r="480" spans="1:2">
      <c r="A480" s="63" t="s">
        <v>873</v>
      </c>
      <c r="B480" s="63" t="e">
        <f>VLOOKUP('Calculos 2'!A480,'Huella Completa'!A68:G746,3,FALSE)*(IF(VLOOKUP('Calculos 2'!A480,'Huella Completa'!A68:G746,4,FALSE)="Gasolina",Gasolina,IF(VLOOKUP('Calculos 2'!A480,'Huella Completa'!A68:G746,4,FALSE)="Diesel",Diesel,IF(VLOOKUP('Calculos 2'!A480,'Huella Completa'!A68:G746,4,FALSE)="GLP",GLP,0))))</f>
        <v>#N/A</v>
      </c>
    </row>
    <row r="481" spans="1:2">
      <c r="A481" s="63" t="s">
        <v>874</v>
      </c>
      <c r="B481" s="63" t="e">
        <f>VLOOKUP('Calculos 2'!A481,'Huella Completa'!A69:G747,3,FALSE)*(IF(VLOOKUP('Calculos 2'!A481,'Huella Completa'!A69:G747,4,FALSE)="Gasolina",Gasolina,IF(VLOOKUP('Calculos 2'!A481,'Huella Completa'!A69:G747,4,FALSE)="Diesel",Diesel,IF(VLOOKUP('Calculos 2'!A481,'Huella Completa'!A69:G747,4,FALSE)="GLP",GLP,0))))</f>
        <v>#N/A</v>
      </c>
    </row>
    <row r="482" spans="1:2">
      <c r="A482" s="63" t="s">
        <v>875</v>
      </c>
      <c r="B482" s="63" t="e">
        <f>VLOOKUP('Calculos 2'!A482,'Huella Completa'!A70:G748,3,FALSE)*(IF(VLOOKUP('Calculos 2'!A482,'Huella Completa'!A70:G748,4,FALSE)="Gasolina",Gasolina,IF(VLOOKUP('Calculos 2'!A482,'Huella Completa'!A70:G748,4,FALSE)="Diesel",Diesel,IF(VLOOKUP('Calculos 2'!A482,'Huella Completa'!A70:G748,4,FALSE)="GLP",GLP,0))))</f>
        <v>#N/A</v>
      </c>
    </row>
    <row r="483" spans="1:2">
      <c r="A483" s="63" t="s">
        <v>876</v>
      </c>
      <c r="B483" s="63" t="e">
        <f>VLOOKUP('Calculos 2'!A483,'Huella Completa'!A71:G749,3,FALSE)*(IF(VLOOKUP('Calculos 2'!A483,'Huella Completa'!A71:G749,4,FALSE)="Gasolina",Gasolina,IF(VLOOKUP('Calculos 2'!A483,'Huella Completa'!A71:G749,4,FALSE)="Diesel",Diesel,IF(VLOOKUP('Calculos 2'!A483,'Huella Completa'!A71:G749,4,FALSE)="GLP",GLP,0))))</f>
        <v>#N/A</v>
      </c>
    </row>
    <row r="484" spans="1:2">
      <c r="A484" s="63" t="s">
        <v>877</v>
      </c>
      <c r="B484" s="63" t="e">
        <f>VLOOKUP('Calculos 2'!A484,'Huella Completa'!A72:G750,3,FALSE)*(IF(VLOOKUP('Calculos 2'!A484,'Huella Completa'!A72:G750,4,FALSE)="Gasolina",Gasolina,IF(VLOOKUP('Calculos 2'!A484,'Huella Completa'!A72:G750,4,FALSE)="Diesel",Diesel,IF(VLOOKUP('Calculos 2'!A484,'Huella Completa'!A72:G750,4,FALSE)="GLP",GLP,0))))</f>
        <v>#N/A</v>
      </c>
    </row>
    <row r="485" spans="1:2">
      <c r="A485" s="63" t="s">
        <v>878</v>
      </c>
      <c r="B485" s="63" t="e">
        <f>VLOOKUP('Calculos 2'!A485,'Huella Completa'!A74:G751,3,FALSE)*(IF(VLOOKUP('Calculos 2'!A485,'Huella Completa'!A74:G751,4,FALSE)="Gasolina",Gasolina,IF(VLOOKUP('Calculos 2'!A485,'Huella Completa'!A74:G751,4,FALSE)="Diesel",Diesel,IF(VLOOKUP('Calculos 2'!A485,'Huella Completa'!A74:G751,4,FALSE)="GLP",GLP,0))))</f>
        <v>#N/A</v>
      </c>
    </row>
    <row r="486" spans="1:2">
      <c r="A486" s="63" t="s">
        <v>879</v>
      </c>
      <c r="B486" s="63" t="e">
        <f>VLOOKUP('Calculos 2'!A486,'Huella Completa'!A75:G752,3,FALSE)*(IF(VLOOKUP('Calculos 2'!A486,'Huella Completa'!A75:G752,4,FALSE)="Gasolina",Gasolina,IF(VLOOKUP('Calculos 2'!A486,'Huella Completa'!A75:G752,4,FALSE)="Diesel",Diesel,IF(VLOOKUP('Calculos 2'!A486,'Huella Completa'!A75:G752,4,FALSE)="GLP",GLP,0))))</f>
        <v>#N/A</v>
      </c>
    </row>
    <row r="487" spans="1:2">
      <c r="A487" s="63" t="s">
        <v>880</v>
      </c>
      <c r="B487" s="63" t="e">
        <f>VLOOKUP('Calculos 2'!A487,'Huella Completa'!A76:G753,3,FALSE)*(IF(VLOOKUP('Calculos 2'!A487,'Huella Completa'!A76:G753,4,FALSE)="Gasolina",Gasolina,IF(VLOOKUP('Calculos 2'!A487,'Huella Completa'!A76:G753,4,FALSE)="Diesel",Diesel,IF(VLOOKUP('Calculos 2'!A487,'Huella Completa'!A76:G753,4,FALSE)="GLP",GLP,0))))</f>
        <v>#N/A</v>
      </c>
    </row>
    <row r="488" spans="1:2">
      <c r="A488" s="63" t="s">
        <v>881</v>
      </c>
      <c r="B488" s="63" t="e">
        <f>VLOOKUP('Calculos 2'!A488,'Huella Completa'!A77:G754,3,FALSE)*(IF(VLOOKUP('Calculos 2'!A488,'Huella Completa'!A77:G754,4,FALSE)="Gasolina",Gasolina,IF(VLOOKUP('Calculos 2'!A488,'Huella Completa'!A77:G754,4,FALSE)="Diesel",Diesel,IF(VLOOKUP('Calculos 2'!A488,'Huella Completa'!A77:G754,4,FALSE)="GLP",GLP,0))))</f>
        <v>#N/A</v>
      </c>
    </row>
    <row r="489" spans="1:2">
      <c r="A489" s="63" t="s">
        <v>882</v>
      </c>
      <c r="B489" s="63" t="e">
        <f>VLOOKUP('Calculos 2'!A489,'Huella Completa'!A84:G755,3,FALSE)*(IF(VLOOKUP('Calculos 2'!A489,'Huella Completa'!A84:G755,4,FALSE)="Gasolina",Gasolina,IF(VLOOKUP('Calculos 2'!A489,'Huella Completa'!A84:G755,4,FALSE)="Diesel",Diesel,IF(VLOOKUP('Calculos 2'!A489,'Huella Completa'!A84:G755,4,FALSE)="GLP",GLP,0))))</f>
        <v>#N/A</v>
      </c>
    </row>
    <row r="490" spans="1:2">
      <c r="A490" s="63" t="s">
        <v>883</v>
      </c>
      <c r="B490" s="63" t="e">
        <f>VLOOKUP('Calculos 2'!A490,'Huella Completa'!A86:G756,3,FALSE)*(IF(VLOOKUP('Calculos 2'!A490,'Huella Completa'!A86:G756,4,FALSE)="Gasolina",Gasolina,IF(VLOOKUP('Calculos 2'!A490,'Huella Completa'!A86:G756,4,FALSE)="Diesel",Diesel,IF(VLOOKUP('Calculos 2'!A490,'Huella Completa'!A86:G756,4,FALSE)="GLP",GLP,0))))</f>
        <v>#N/A</v>
      </c>
    </row>
    <row r="491" spans="1:2">
      <c r="A491" s="63" t="s">
        <v>884</v>
      </c>
      <c r="B491" s="63" t="e">
        <f>VLOOKUP('Calculos 2'!A491,'Huella Completa'!A87:G757,3,FALSE)*(IF(VLOOKUP('Calculos 2'!A491,'Huella Completa'!A87:G757,4,FALSE)="Gasolina",Gasolina,IF(VLOOKUP('Calculos 2'!A491,'Huella Completa'!A87:G757,4,FALSE)="Diesel",Diesel,IF(VLOOKUP('Calculos 2'!A491,'Huella Completa'!A87:G757,4,FALSE)="GLP",GLP,0))))</f>
        <v>#N/A</v>
      </c>
    </row>
    <row r="492" spans="1:2">
      <c r="A492" s="63" t="s">
        <v>885</v>
      </c>
      <c r="B492" s="63" t="e">
        <f>VLOOKUP('Calculos 2'!A492,'Huella Completa'!A88:G758,3,FALSE)*(IF(VLOOKUP('Calculos 2'!A492,'Huella Completa'!A88:G758,4,FALSE)="Gasolina",Gasolina,IF(VLOOKUP('Calculos 2'!A492,'Huella Completa'!A88:G758,4,FALSE)="Diesel",Diesel,IF(VLOOKUP('Calculos 2'!A492,'Huella Completa'!A88:G758,4,FALSE)="GLP",GLP,0))))</f>
        <v>#N/A</v>
      </c>
    </row>
    <row r="493" spans="1:2">
      <c r="A493" s="63" t="s">
        <v>886</v>
      </c>
      <c r="B493" s="63" t="e">
        <f>VLOOKUP('Calculos 2'!A493,'Huella Completa'!A89:G759,3,FALSE)*(IF(VLOOKUP('Calculos 2'!A493,'Huella Completa'!A89:G759,4,FALSE)="Gasolina",Gasolina,IF(VLOOKUP('Calculos 2'!A493,'Huella Completa'!A89:G759,4,FALSE)="Diesel",Diesel,IF(VLOOKUP('Calculos 2'!A493,'Huella Completa'!A89:G759,4,FALSE)="GLP",GLP,0))))</f>
        <v>#N/A</v>
      </c>
    </row>
    <row r="494" spans="1:2">
      <c r="A494" s="63" t="s">
        <v>887</v>
      </c>
      <c r="B494" s="63" t="e">
        <f>VLOOKUP('Calculos 2'!A494,'Huella Completa'!A90:G760,3,FALSE)*(IF(VLOOKUP('Calculos 2'!A494,'Huella Completa'!A90:G760,4,FALSE)="Gasolina",Gasolina,IF(VLOOKUP('Calculos 2'!A494,'Huella Completa'!A90:G760,4,FALSE)="Diesel",Diesel,IF(VLOOKUP('Calculos 2'!A494,'Huella Completa'!A90:G760,4,FALSE)="GLP",GLP,0))))</f>
        <v>#N/A</v>
      </c>
    </row>
    <row r="495" spans="1:2">
      <c r="A495" s="63" t="s">
        <v>888</v>
      </c>
      <c r="B495" s="63" t="e">
        <f>VLOOKUP('Calculos 2'!A495,'Huella Completa'!A91:G761,3,FALSE)*(IF(VLOOKUP('Calculos 2'!A495,'Huella Completa'!A91:G761,4,FALSE)="Gasolina",Gasolina,IF(VLOOKUP('Calculos 2'!A495,'Huella Completa'!A91:G761,4,FALSE)="Diesel",Diesel,IF(VLOOKUP('Calculos 2'!A495,'Huella Completa'!A91:G761,4,FALSE)="GLP",GLP,0))))</f>
        <v>#N/A</v>
      </c>
    </row>
    <row r="496" spans="1:2">
      <c r="A496" s="63" t="s">
        <v>889</v>
      </c>
      <c r="B496" s="63" t="e">
        <f>VLOOKUP('Calculos 2'!A496,'Huella Completa'!A92:G762,3,FALSE)*(IF(VLOOKUP('Calculos 2'!A496,'Huella Completa'!A92:G762,4,FALSE)="Gasolina",Gasolina,IF(VLOOKUP('Calculos 2'!A496,'Huella Completa'!A92:G762,4,FALSE)="Diesel",Diesel,IF(VLOOKUP('Calculos 2'!A496,'Huella Completa'!A92:G762,4,FALSE)="GLP",GLP,0))))</f>
        <v>#N/A</v>
      </c>
    </row>
    <row r="497" spans="1:2">
      <c r="A497" s="63" t="s">
        <v>890</v>
      </c>
      <c r="B497" s="63" t="e">
        <f>VLOOKUP('Calculos 2'!A497,'Huella Completa'!A93:G763,3,FALSE)*(IF(VLOOKUP('Calculos 2'!A497,'Huella Completa'!A93:G763,4,FALSE)="Gasolina",Gasolina,IF(VLOOKUP('Calculos 2'!A497,'Huella Completa'!A93:G763,4,FALSE)="Diesel",Diesel,IF(VLOOKUP('Calculos 2'!A497,'Huella Completa'!A93:G763,4,FALSE)="GLP",GLP,0))))</f>
        <v>#N/A</v>
      </c>
    </row>
    <row r="498" spans="1:2">
      <c r="A498" s="63" t="s">
        <v>891</v>
      </c>
      <c r="B498" s="63" t="e">
        <f>VLOOKUP('Calculos 2'!A498,'Huella Completa'!A94:G764,3,FALSE)*(IF(VLOOKUP('Calculos 2'!A498,'Huella Completa'!A94:G764,4,FALSE)="Gasolina",Gasolina,IF(VLOOKUP('Calculos 2'!A498,'Huella Completa'!A94:G764,4,FALSE)="Diesel",Diesel,IF(VLOOKUP('Calculos 2'!A498,'Huella Completa'!A94:G764,4,FALSE)="GLP",GLP,0))))</f>
        <v>#N/A</v>
      </c>
    </row>
    <row r="499" spans="1:2">
      <c r="A499" s="63" t="s">
        <v>892</v>
      </c>
      <c r="B499" s="63" t="e">
        <f>VLOOKUP('Calculos 2'!A499,'Huella Completa'!A95:G765,3,FALSE)*(IF(VLOOKUP('Calculos 2'!A499,'Huella Completa'!A95:G765,4,FALSE)="Gasolina",Gasolina,IF(VLOOKUP('Calculos 2'!A499,'Huella Completa'!A95:G765,4,FALSE)="Diesel",Diesel,IF(VLOOKUP('Calculos 2'!A499,'Huella Completa'!A95:G765,4,FALSE)="GLP",GLP,0))))</f>
        <v>#N/A</v>
      </c>
    </row>
    <row r="500" spans="1:2">
      <c r="A500" s="63" t="s">
        <v>893</v>
      </c>
      <c r="B500" s="63" t="e">
        <f>VLOOKUP('Calculos 2'!A500,'Huella Completa'!A96:G766,3,FALSE)*(IF(VLOOKUP('Calculos 2'!A500,'Huella Completa'!A96:G766,4,FALSE)="Gasolina",Gasolina,IF(VLOOKUP('Calculos 2'!A500,'Huella Completa'!A96:G766,4,FALSE)="Diesel",Diesel,IF(VLOOKUP('Calculos 2'!A500,'Huella Completa'!A96:G766,4,FALSE)="GLP",GLP,0))))</f>
        <v>#N/A</v>
      </c>
    </row>
    <row r="501" spans="1:2">
      <c r="A501" s="63" t="s">
        <v>894</v>
      </c>
      <c r="B501" s="63" t="e">
        <f>VLOOKUP('Calculos 2'!A501,'Huella Completa'!A97:G767,3,FALSE)*(IF(VLOOKUP('Calculos 2'!A501,'Huella Completa'!A97:G767,4,FALSE)="Gasolina",Gasolina,IF(VLOOKUP('Calculos 2'!A501,'Huella Completa'!A97:G767,4,FALSE)="Diesel",Diesel,IF(VLOOKUP('Calculos 2'!A501,'Huella Completa'!A97:G767,4,FALSE)="GLP",GLP,0))))</f>
        <v>#N/A</v>
      </c>
    </row>
    <row r="502" spans="1:2">
      <c r="A502" s="63" t="s">
        <v>895</v>
      </c>
      <c r="B502" s="63" t="e">
        <f>VLOOKUP('Calculos 2'!A502,'Huella Completa'!A98:G768,3,FALSE)*(IF(VLOOKUP('Calculos 2'!A502,'Huella Completa'!A98:G768,4,FALSE)="Gasolina",Gasolina,IF(VLOOKUP('Calculos 2'!A502,'Huella Completa'!A98:G768,4,FALSE)="Diesel",Diesel,IF(VLOOKUP('Calculos 2'!A502,'Huella Completa'!A98:G768,4,FALSE)="GLP",GLP,0))))</f>
        <v>#N/A</v>
      </c>
    </row>
    <row r="503" spans="1:2">
      <c r="A503" s="63" t="s">
        <v>896</v>
      </c>
      <c r="B503" s="63" t="e">
        <f>VLOOKUP('Calculos 2'!A503,'Huella Completa'!A99:G769,3,FALSE)*(IF(VLOOKUP('Calculos 2'!A503,'Huella Completa'!A99:G769,4,FALSE)="Gasolina",Gasolina,IF(VLOOKUP('Calculos 2'!A503,'Huella Completa'!A99:G769,4,FALSE)="Diesel",Diesel,IF(VLOOKUP('Calculos 2'!A503,'Huella Completa'!A99:G769,4,FALSE)="GLP",GLP,0))))</f>
        <v>#N/A</v>
      </c>
    </row>
    <row r="504" spans="1:2">
      <c r="A504" s="63" t="s">
        <v>897</v>
      </c>
      <c r="B504" s="63" t="e">
        <f>VLOOKUP('Calculos 2'!A504,'Huella Completa'!A100:G770,3,FALSE)*(IF(VLOOKUP('Calculos 2'!A504,'Huella Completa'!A100:G770,4,FALSE)="Gasolina",Gasolina,IF(VLOOKUP('Calculos 2'!A504,'Huella Completa'!A100:G770,4,FALSE)="Diesel",Diesel,IF(VLOOKUP('Calculos 2'!A504,'Huella Completa'!A100:G770,4,FALSE)="GLP",GLP,0))))</f>
        <v>#N/A</v>
      </c>
    </row>
    <row r="505" spans="1:2">
      <c r="A505" s="63" t="s">
        <v>898</v>
      </c>
      <c r="B505" s="63" t="e">
        <f>VLOOKUP('Calculos 2'!A505,'Huella Completa'!A101:G771,3,FALSE)*(IF(VLOOKUP('Calculos 2'!A505,'Huella Completa'!A101:G771,4,FALSE)="Gasolina",Gasolina,IF(VLOOKUP('Calculos 2'!A505,'Huella Completa'!A101:G771,4,FALSE)="Diesel",Diesel,IF(VLOOKUP('Calculos 2'!A505,'Huella Completa'!A101:G771,4,FALSE)="GLP",GLP,0))))</f>
        <v>#N/A</v>
      </c>
    </row>
    <row r="506" spans="1:2">
      <c r="A506" s="63" t="s">
        <v>899</v>
      </c>
      <c r="B506" s="63" t="e">
        <f>VLOOKUP('Calculos 2'!A506,'Huella Completa'!A102:G772,3,FALSE)*(IF(VLOOKUP('Calculos 2'!A506,'Huella Completa'!A102:G772,4,FALSE)="Gasolina",Gasolina,IF(VLOOKUP('Calculos 2'!A506,'Huella Completa'!A102:G772,4,FALSE)="Diesel",Diesel,IF(VLOOKUP('Calculos 2'!A506,'Huella Completa'!A102:G772,4,FALSE)="GLP",GLP,0))))</f>
        <v>#N/A</v>
      </c>
    </row>
    <row r="507" spans="1:2">
      <c r="A507" s="63" t="s">
        <v>900</v>
      </c>
      <c r="B507" s="63" t="e">
        <f>VLOOKUP('Calculos 2'!A507,'Huella Completa'!A103:G773,3,FALSE)*(IF(VLOOKUP('Calculos 2'!A507,'Huella Completa'!A103:G773,4,FALSE)="Gasolina",Gasolina,IF(VLOOKUP('Calculos 2'!A507,'Huella Completa'!A103:G773,4,FALSE)="Diesel",Diesel,IF(VLOOKUP('Calculos 2'!A507,'Huella Completa'!A103:G773,4,FALSE)="GLP",GLP,0))))</f>
        <v>#N/A</v>
      </c>
    </row>
    <row r="508" spans="1:2">
      <c r="A508" s="63" t="s">
        <v>901</v>
      </c>
      <c r="B508" s="63" t="e">
        <f>VLOOKUP('Calculos 2'!A508,'Huella Completa'!A104:G774,3,FALSE)*(IF(VLOOKUP('Calculos 2'!A508,'Huella Completa'!A104:G774,4,FALSE)="Gasolina",Gasolina,IF(VLOOKUP('Calculos 2'!A508,'Huella Completa'!A104:G774,4,FALSE)="Diesel",Diesel,IF(VLOOKUP('Calculos 2'!A508,'Huella Completa'!A104:G774,4,FALSE)="GLP",GLP,0))))</f>
        <v>#N/A</v>
      </c>
    </row>
    <row r="509" spans="1:2">
      <c r="A509" s="63" t="s">
        <v>902</v>
      </c>
      <c r="B509" s="63" t="e">
        <f>VLOOKUP('Calculos 2'!A509,'Huella Completa'!A106:G775,3,FALSE)*(IF(VLOOKUP('Calculos 2'!A509,'Huella Completa'!A106:G775,4,FALSE)="Gasolina",Gasolina,IF(VLOOKUP('Calculos 2'!A509,'Huella Completa'!A106:G775,4,FALSE)="Diesel",Diesel,IF(VLOOKUP('Calculos 2'!A509,'Huella Completa'!A106:G775,4,FALSE)="GLP",GLP,0))))</f>
        <v>#N/A</v>
      </c>
    </row>
    <row r="510" spans="1:2">
      <c r="A510" s="63" t="s">
        <v>903</v>
      </c>
      <c r="B510" s="63" t="e">
        <f>VLOOKUP('Calculos 2'!A510,'Huella Completa'!A107:G776,3,FALSE)*(IF(VLOOKUP('Calculos 2'!A510,'Huella Completa'!A107:G776,4,FALSE)="Gasolina",Gasolina,IF(VLOOKUP('Calculos 2'!A510,'Huella Completa'!A107:G776,4,FALSE)="Diesel",Diesel,IF(VLOOKUP('Calculos 2'!A510,'Huella Completa'!A107:G776,4,FALSE)="GLP",GLP,0))))</f>
        <v>#N/A</v>
      </c>
    </row>
    <row r="511" spans="1:2">
      <c r="A511" s="63" t="s">
        <v>904</v>
      </c>
      <c r="B511" s="63" t="e">
        <f>VLOOKUP('Calculos 2'!A511,'Huella Completa'!A108:G777,3,FALSE)*(IF(VLOOKUP('Calculos 2'!A511,'Huella Completa'!A108:G777,4,FALSE)="Gasolina",Gasolina,IF(VLOOKUP('Calculos 2'!A511,'Huella Completa'!A108:G777,4,FALSE)="Diesel",Diesel,IF(VLOOKUP('Calculos 2'!A511,'Huella Completa'!A108:G777,4,FALSE)="GLP",GLP,0))))</f>
        <v>#N/A</v>
      </c>
    </row>
    <row r="512" spans="1:2">
      <c r="A512" s="63" t="s">
        <v>905</v>
      </c>
      <c r="B512" s="63" t="e">
        <f>VLOOKUP('Calculos 2'!A512,'Huella Completa'!A109:G778,3,FALSE)*(IF(VLOOKUP('Calculos 2'!A512,'Huella Completa'!A109:G778,4,FALSE)="Gasolina",Gasolina,IF(VLOOKUP('Calculos 2'!A512,'Huella Completa'!A109:G778,4,FALSE)="Diesel",Diesel,IF(VLOOKUP('Calculos 2'!A512,'Huella Completa'!A109:G778,4,FALSE)="GLP",GLP,0))))</f>
        <v>#N/A</v>
      </c>
    </row>
    <row r="513" spans="1:2">
      <c r="A513" s="63" t="s">
        <v>906</v>
      </c>
      <c r="B513" s="63" t="e">
        <f>VLOOKUP('Calculos 2'!A513,'Huella Completa'!A110:G779,3,FALSE)*(IF(VLOOKUP('Calculos 2'!A513,'Huella Completa'!A110:G779,4,FALSE)="Gasolina",Gasolina,IF(VLOOKUP('Calculos 2'!A513,'Huella Completa'!A110:G779,4,FALSE)="Diesel",Diesel,IF(VLOOKUP('Calculos 2'!A513,'Huella Completa'!A110:G779,4,FALSE)="GLP",GLP,0))))</f>
        <v>#N/A</v>
      </c>
    </row>
    <row r="514" spans="1:2">
      <c r="A514" s="63" t="s">
        <v>907</v>
      </c>
      <c r="B514" s="63" t="e">
        <f>VLOOKUP('Calculos 2'!A514,'Huella Completa'!A111:G780,3,FALSE)*(IF(VLOOKUP('Calculos 2'!A514,'Huella Completa'!A111:G780,4,FALSE)="Gasolina",Gasolina,IF(VLOOKUP('Calculos 2'!A514,'Huella Completa'!A111:G780,4,FALSE)="Diesel",Diesel,IF(VLOOKUP('Calculos 2'!A514,'Huella Completa'!A111:G780,4,FALSE)="GLP",GLP,0))))</f>
        <v>#N/A</v>
      </c>
    </row>
    <row r="515" spans="1:2">
      <c r="A515" s="63" t="s">
        <v>908</v>
      </c>
      <c r="B515" s="63" t="e">
        <f>VLOOKUP('Calculos 2'!A515,'Huella Completa'!A112:G781,3,FALSE)*(IF(VLOOKUP('Calculos 2'!A515,'Huella Completa'!A112:G781,4,FALSE)="Gasolina",Gasolina,IF(VLOOKUP('Calculos 2'!A515,'Huella Completa'!A112:G781,4,FALSE)="Diesel",Diesel,IF(VLOOKUP('Calculos 2'!A515,'Huella Completa'!A112:G781,4,FALSE)="GLP",GLP,0))))</f>
        <v>#N/A</v>
      </c>
    </row>
    <row r="516" spans="1:2">
      <c r="A516" s="63" t="s">
        <v>909</v>
      </c>
      <c r="B516" s="63" t="e">
        <f>VLOOKUP('Calculos 2'!A516,'Huella Completa'!A113:G782,3,FALSE)*(IF(VLOOKUP('Calculos 2'!A516,'Huella Completa'!A113:G782,4,FALSE)="Gasolina",Gasolina,IF(VLOOKUP('Calculos 2'!A516,'Huella Completa'!A113:G782,4,FALSE)="Diesel",Diesel,IF(VLOOKUP('Calculos 2'!A516,'Huella Completa'!A113:G782,4,FALSE)="GLP",GLP,0))))</f>
        <v>#N/A</v>
      </c>
    </row>
    <row r="517" spans="1:2">
      <c r="A517" s="63" t="s">
        <v>910</v>
      </c>
      <c r="B517" s="63" t="e">
        <f>VLOOKUP('Calculos 2'!A517,'Huella Completa'!A114:G783,3,FALSE)*(IF(VLOOKUP('Calculos 2'!A517,'Huella Completa'!A114:G783,4,FALSE)="Gasolina",Gasolina,IF(VLOOKUP('Calculos 2'!A517,'Huella Completa'!A114:G783,4,FALSE)="Diesel",Diesel,IF(VLOOKUP('Calculos 2'!A517,'Huella Completa'!A114:G783,4,FALSE)="GLP",GLP,0))))</f>
        <v>#N/A</v>
      </c>
    </row>
    <row r="518" spans="1:2">
      <c r="A518" s="63" t="s">
        <v>911</v>
      </c>
      <c r="B518" s="63" t="e">
        <f>VLOOKUP('Calculos 2'!A518,'Huella Completa'!A115:G784,3,FALSE)*(IF(VLOOKUP('Calculos 2'!A518,'Huella Completa'!A115:G784,4,FALSE)="Gasolina",Gasolina,IF(VLOOKUP('Calculos 2'!A518,'Huella Completa'!A115:G784,4,FALSE)="Diesel",Diesel,IF(VLOOKUP('Calculos 2'!A518,'Huella Completa'!A115:G784,4,FALSE)="GLP",GLP,0))))</f>
        <v>#N/A</v>
      </c>
    </row>
    <row r="519" spans="1:2">
      <c r="A519" s="63" t="s">
        <v>912</v>
      </c>
      <c r="B519" s="63" t="e">
        <f>VLOOKUP('Calculos 2'!A519,'Huella Completa'!A116:G785,3,FALSE)*(IF(VLOOKUP('Calculos 2'!A519,'Huella Completa'!A116:G785,4,FALSE)="Gasolina",Gasolina,IF(VLOOKUP('Calculos 2'!A519,'Huella Completa'!A116:G785,4,FALSE)="Diesel",Diesel,IF(VLOOKUP('Calculos 2'!A519,'Huella Completa'!A116:G785,4,FALSE)="GLP",GLP,0))))</f>
        <v>#N/A</v>
      </c>
    </row>
    <row r="520" spans="1:2">
      <c r="A520" s="63" t="s">
        <v>913</v>
      </c>
      <c r="B520" s="63" t="e">
        <f>VLOOKUP('Calculos 2'!A520,'Huella Completa'!A117:G786,3,FALSE)*(IF(VLOOKUP('Calculos 2'!A520,'Huella Completa'!A117:G786,4,FALSE)="Gasolina",Gasolina,IF(VLOOKUP('Calculos 2'!A520,'Huella Completa'!A117:G786,4,FALSE)="Diesel",Diesel,IF(VLOOKUP('Calculos 2'!A520,'Huella Completa'!A117:G786,4,FALSE)="GLP",GLP,0))))</f>
        <v>#N/A</v>
      </c>
    </row>
    <row r="521" spans="1:2">
      <c r="A521" s="63" t="s">
        <v>914</v>
      </c>
      <c r="B521" s="63" t="e">
        <f>VLOOKUP('Calculos 2'!A521,'Huella Completa'!A118:G787,3,FALSE)*(IF(VLOOKUP('Calculos 2'!A521,'Huella Completa'!A118:G787,4,FALSE)="Gasolina",Gasolina,IF(VLOOKUP('Calculos 2'!A521,'Huella Completa'!A118:G787,4,FALSE)="Diesel",Diesel,IF(VLOOKUP('Calculos 2'!A521,'Huella Completa'!A118:G787,4,FALSE)="GLP",GLP,0))))</f>
        <v>#N/A</v>
      </c>
    </row>
    <row r="522" spans="1:2">
      <c r="A522" s="63" t="s">
        <v>915</v>
      </c>
      <c r="B522" s="63" t="e">
        <f>VLOOKUP('Calculos 2'!A522,'Huella Completa'!A119:G788,3,FALSE)*(IF(VLOOKUP('Calculos 2'!A522,'Huella Completa'!A119:G788,4,FALSE)="Gasolina",Gasolina,IF(VLOOKUP('Calculos 2'!A522,'Huella Completa'!A119:G788,4,FALSE)="Diesel",Diesel,IF(VLOOKUP('Calculos 2'!A522,'Huella Completa'!A119:G788,4,FALSE)="GLP",GLP,0))))</f>
        <v>#N/A</v>
      </c>
    </row>
    <row r="523" spans="1:2">
      <c r="A523" s="63" t="s">
        <v>916</v>
      </c>
      <c r="B523" s="63" t="e">
        <f>VLOOKUP('Calculos 2'!A523,'Huella Completa'!A120:G789,3,FALSE)*(IF(VLOOKUP('Calculos 2'!A523,'Huella Completa'!A120:G789,4,FALSE)="Gasolina",Gasolina,IF(VLOOKUP('Calculos 2'!A523,'Huella Completa'!A120:G789,4,FALSE)="Diesel",Diesel,IF(VLOOKUP('Calculos 2'!A523,'Huella Completa'!A120:G789,4,FALSE)="GLP",GLP,0))))</f>
        <v>#N/A</v>
      </c>
    </row>
    <row r="524" spans="1:2">
      <c r="A524" s="63" t="s">
        <v>917</v>
      </c>
      <c r="B524" s="63" t="e">
        <f>VLOOKUP('Calculos 2'!A524,'Huella Completa'!A121:G790,3,FALSE)*(IF(VLOOKUP('Calculos 2'!A524,'Huella Completa'!A121:G790,4,FALSE)="Gasolina",Gasolina,IF(VLOOKUP('Calculos 2'!A524,'Huella Completa'!A121:G790,4,FALSE)="Diesel",Diesel,IF(VLOOKUP('Calculos 2'!A524,'Huella Completa'!A121:G790,4,FALSE)="GLP",GLP,0))))</f>
        <v>#N/A</v>
      </c>
    </row>
    <row r="525" spans="1:2">
      <c r="A525" s="63" t="s">
        <v>918</v>
      </c>
      <c r="B525" s="63" t="e">
        <f>VLOOKUP('Calculos 2'!A525,'Huella Completa'!A122:G791,3,FALSE)*(IF(VLOOKUP('Calculos 2'!A525,'Huella Completa'!A122:G791,4,FALSE)="Gasolina",Gasolina,IF(VLOOKUP('Calculos 2'!A525,'Huella Completa'!A122:G791,4,FALSE)="Diesel",Diesel,IF(VLOOKUP('Calculos 2'!A525,'Huella Completa'!A122:G791,4,FALSE)="GLP",GLP,0))))</f>
        <v>#N/A</v>
      </c>
    </row>
    <row r="526" spans="1:2">
      <c r="A526" s="63" t="s">
        <v>919</v>
      </c>
      <c r="B526" s="63" t="e">
        <f>VLOOKUP('Calculos 2'!A526,'Huella Completa'!A123:G792,3,FALSE)*(IF(VLOOKUP('Calculos 2'!A526,'Huella Completa'!A123:G792,4,FALSE)="Gasolina",Gasolina,IF(VLOOKUP('Calculos 2'!A526,'Huella Completa'!A123:G792,4,FALSE)="Diesel",Diesel,IF(VLOOKUP('Calculos 2'!A526,'Huella Completa'!A123:G792,4,FALSE)="GLP",GLP,0))))</f>
        <v>#N/A</v>
      </c>
    </row>
    <row r="527" spans="1:2">
      <c r="A527" s="63" t="s">
        <v>920</v>
      </c>
      <c r="B527" s="63" t="e">
        <f>VLOOKUP('Calculos 2'!A527,'Huella Completa'!A124:G793,3,FALSE)*(IF(VLOOKUP('Calculos 2'!A527,'Huella Completa'!A124:G793,4,FALSE)="Gasolina",Gasolina,IF(VLOOKUP('Calculos 2'!A527,'Huella Completa'!A124:G793,4,FALSE)="Diesel",Diesel,IF(VLOOKUP('Calculos 2'!A527,'Huella Completa'!A124:G793,4,FALSE)="GLP",GLP,0))))</f>
        <v>#N/A</v>
      </c>
    </row>
    <row r="528" spans="1:2">
      <c r="A528" s="63" t="s">
        <v>921</v>
      </c>
      <c r="B528" s="63" t="e">
        <f>VLOOKUP('Calculos 2'!A528,'Huella Completa'!A125:G794,3,FALSE)*(IF(VLOOKUP('Calculos 2'!A528,'Huella Completa'!A125:G794,4,FALSE)="Gasolina",Gasolina,IF(VLOOKUP('Calculos 2'!A528,'Huella Completa'!A125:G794,4,FALSE)="Diesel",Diesel,IF(VLOOKUP('Calculos 2'!A528,'Huella Completa'!A125:G794,4,FALSE)="GLP",GLP,0))))</f>
        <v>#N/A</v>
      </c>
    </row>
    <row r="529" spans="1:26">
      <c r="A529" s="63" t="s">
        <v>922</v>
      </c>
      <c r="B529" s="63" t="e">
        <f>VLOOKUP('Calculos 2'!A529,'Huella Completa'!A126:G795,3,FALSE)*(IF(VLOOKUP('Calculos 2'!A529,'Huella Completa'!A126:G795,4,FALSE)="Gasolina",Gasolina,IF(VLOOKUP('Calculos 2'!A529,'Huella Completa'!A126:G795,4,FALSE)="Diesel",Diesel,IF(VLOOKUP('Calculos 2'!A529,'Huella Completa'!A126:G795,4,FALSE)="GLP",GLP,0))))</f>
        <v>#N/A</v>
      </c>
    </row>
    <row r="530" spans="1:26">
      <c r="A530" s="63" t="s">
        <v>923</v>
      </c>
      <c r="B530" s="63" t="e">
        <f>VLOOKUP('Calculos 2'!A530,'Huella Completa'!A127:G796,3,FALSE)*(IF(VLOOKUP('Calculos 2'!A530,'Huella Completa'!A127:G796,4,FALSE)="Gasolina",Gasolina,IF(VLOOKUP('Calculos 2'!A530,'Huella Completa'!A127:G796,4,FALSE)="Diesel",Diesel,IF(VLOOKUP('Calculos 2'!A530,'Huella Completa'!A127:G796,4,FALSE)="GLP",GLP,0))))</f>
        <v>#N/A</v>
      </c>
    </row>
    <row r="531" spans="1:26">
      <c r="A531" s="63" t="s">
        <v>924</v>
      </c>
      <c r="B531" s="63" t="e">
        <f>VLOOKUP('Calculos 2'!A531,'Huella Completa'!A128:G797,3,FALSE)*(IF(VLOOKUP('Calculos 2'!A531,'Huella Completa'!A128:G797,4,FALSE)="Gasolina",Gasolina,IF(VLOOKUP('Calculos 2'!A531,'Huella Completa'!A128:G797,4,FALSE)="Diesel",Diesel,IF(VLOOKUP('Calculos 2'!A531,'Huella Completa'!A128:G797,4,FALSE)="GLP",GLP,0))))</f>
        <v>#N/A</v>
      </c>
    </row>
    <row r="532" spans="1:26">
      <c r="A532" s="63" t="s">
        <v>925</v>
      </c>
      <c r="B532" s="63" t="e">
        <f>VLOOKUP('Calculos 2'!A532,'Huella Completa'!A129:G798,3,FALSE)*(IF(VLOOKUP('Calculos 2'!A532,'Huella Completa'!A129:G798,4,FALSE)="Gasolina",Gasolina,IF(VLOOKUP('Calculos 2'!A532,'Huella Completa'!A129:G798,4,FALSE)="Diesel",Diesel,IF(VLOOKUP('Calculos 2'!A532,'Huella Completa'!A129:G798,4,FALSE)="GLP",GLP,0))))</f>
        <v>#N/A</v>
      </c>
    </row>
    <row r="533" spans="1:26">
      <c r="A533" s="63" t="s">
        <v>926</v>
      </c>
      <c r="B533" s="63" t="e">
        <f>VLOOKUP('Calculos 2'!A533,'Huella Completa'!A130:G799,3,FALSE)*(IF(VLOOKUP('Calculos 2'!A533,'Huella Completa'!A130:G799,4,FALSE)="Gasolina",Gasolina,IF(VLOOKUP('Calculos 2'!A533,'Huella Completa'!A130:G799,4,FALSE)="Diesel",Diesel,IF(VLOOKUP('Calculos 2'!A533,'Huella Completa'!A130:G799,4,FALSE)="GLP",GLP,0))))</f>
        <v>#N/A</v>
      </c>
    </row>
    <row r="534" spans="1:26">
      <c r="A534" s="63" t="s">
        <v>927</v>
      </c>
      <c r="B534" s="63" t="e">
        <f>VLOOKUP('Calculos 2'!A534,'Huella Completa'!A131:G800,3,FALSE)*(IF(VLOOKUP('Calculos 2'!A534,'Huella Completa'!A131:G800,4,FALSE)="Gasolina",Gasolina,IF(VLOOKUP('Calculos 2'!A534,'Huella Completa'!A131:G800,4,FALSE)="Diesel",Diesel,IF(VLOOKUP('Calculos 2'!A534,'Huella Completa'!A131:G800,4,FALSE)="GLP",GLP,0))))</f>
        <v>#N/A</v>
      </c>
    </row>
    <row r="535" spans="1:26">
      <c r="A535" s="63" t="s">
        <v>928</v>
      </c>
      <c r="B535" s="63" t="e">
        <f>VLOOKUP('Calculos 2'!A535,'Huella Completa'!A132:G801,3,FALSE)*(IF(VLOOKUP('Calculos 2'!A535,'Huella Completa'!A132:G801,4,FALSE)="Gasolina",Gasolina,IF(VLOOKUP('Calculos 2'!A535,'Huella Completa'!A132:G801,4,FALSE)="Diesel",Diesel,IF(VLOOKUP('Calculos 2'!A535,'Huella Completa'!A132:G801,4,FALSE)="GLP",GLP,0))))</f>
        <v>#N/A</v>
      </c>
    </row>
    <row r="536" spans="1:26" s="2" customFormat="1">
      <c r="A536" s="97" t="s">
        <v>1035</v>
      </c>
      <c r="B536" s="97"/>
      <c r="C536" s="97" t="e">
        <f ca="1">_xlfn.AGGREGATE(9,6,B436:B535)</f>
        <v>#NAME?</v>
      </c>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8" spans="1:26">
      <c r="A538" s="63" t="s">
        <v>929</v>
      </c>
      <c r="B538" s="63">
        <f>VLOOKUP('Calculos 2'!A538,'Huella Completa'!A16:G702,3,FALSE)*(IF(VLOOKUP('Calculos 2'!A538,'Huella Completa'!A16:G702,4,FALSE)="Estándar (Endesa, Gas Natural, etc.)",mixelectrico,0))</f>
        <v>0</v>
      </c>
    </row>
    <row r="539" spans="1:26">
      <c r="A539" s="63" t="s">
        <v>930</v>
      </c>
      <c r="B539" s="63">
        <f>VLOOKUP('Calculos 2'!A539,'Huella Completa'!A17:G703,3,FALSE)*(IF(VLOOKUP('Calculos 2'!A539,'Huella Completa'!A17:G703,4,FALSE)="Estándar (Endesa, Gas Natural, etc.)",mixelectrico,0))</f>
        <v>0</v>
      </c>
    </row>
    <row r="540" spans="1:26">
      <c r="A540" s="63" t="s">
        <v>931</v>
      </c>
      <c r="B540" s="63">
        <f>VLOOKUP('Calculos 2'!A540,'Huella Completa'!A18:G704,3,FALSE)*(IF(VLOOKUP('Calculos 2'!A540,'Huella Completa'!A18:G704,4,FALSE)="Estándar (Endesa, Gas Natural, etc.)",mixelectrico,0))</f>
        <v>0</v>
      </c>
    </row>
    <row r="541" spans="1:26">
      <c r="A541" s="63" t="s">
        <v>932</v>
      </c>
      <c r="B541" s="63">
        <f>VLOOKUP('Calculos 2'!A541,'Huella Completa'!A19:G705,3,FALSE)*(IF(VLOOKUP('Calculos 2'!A541,'Huella Completa'!A19:G705,4,FALSE)="Estándar (Endesa, Gas Natural, etc.)",mixelectrico,0))</f>
        <v>0</v>
      </c>
    </row>
    <row r="542" spans="1:26">
      <c r="A542" s="63" t="s">
        <v>933</v>
      </c>
      <c r="B542" s="63">
        <f>VLOOKUP('Calculos 2'!A542,'Huella Completa'!A20:G706,3,FALSE)*(IF(VLOOKUP('Calculos 2'!A542,'Huella Completa'!A20:G706,4,FALSE)="Estándar (Endesa, Gas Natural, etc.)",mixelectrico,0))</f>
        <v>0</v>
      </c>
    </row>
    <row r="543" spans="1:26">
      <c r="A543" s="63" t="s">
        <v>934</v>
      </c>
      <c r="B543" s="63">
        <f>VLOOKUP('Calculos 2'!A543,'Huella Completa'!A21:G707,3,FALSE)*(IF(VLOOKUP('Calculos 2'!A543,'Huella Completa'!A21:G707,4,FALSE)="Estándar (Endesa, Gas Natural, etc.)",mixelectrico,0))</f>
        <v>0</v>
      </c>
    </row>
    <row r="544" spans="1:26">
      <c r="A544" s="63" t="s">
        <v>935</v>
      </c>
      <c r="B544" s="63">
        <f>VLOOKUP('Calculos 2'!A544,'Huella Completa'!A23:G708,3,FALSE)*(IF(VLOOKUP('Calculos 2'!A544,'Huella Completa'!A23:G708,4,FALSE)="Estándar (Endesa, Gas Natural, etc.)",mixelectrico,0))</f>
        <v>0</v>
      </c>
    </row>
    <row r="545" spans="1:2">
      <c r="A545" s="63" t="s">
        <v>936</v>
      </c>
      <c r="B545" s="63">
        <f>VLOOKUP('Calculos 2'!A545,'Huella Completa'!A24:G709,3,FALSE)*(IF(VLOOKUP('Calculos 2'!A545,'Huella Completa'!A24:G709,4,FALSE)="Estándar (Endesa, Gas Natural, etc.)",mixelectrico,0))</f>
        <v>0</v>
      </c>
    </row>
    <row r="546" spans="1:2">
      <c r="A546" s="63" t="s">
        <v>937</v>
      </c>
      <c r="B546" s="63">
        <f>VLOOKUP('Calculos 2'!A546,'Huella Completa'!A25:G710,3,FALSE)*(IF(VLOOKUP('Calculos 2'!A546,'Huella Completa'!A25:G710,4,FALSE)="Estándar (Endesa, Gas Natural, etc.)",mixelectrico,0))</f>
        <v>0</v>
      </c>
    </row>
    <row r="547" spans="1:2">
      <c r="A547" s="63" t="s">
        <v>938</v>
      </c>
      <c r="B547" s="63">
        <f>VLOOKUP('Calculos 2'!A547,'Huella Completa'!A26:G711,3,FALSE)*(IF(VLOOKUP('Calculos 2'!A547,'Huella Completa'!A26:G711,4,FALSE)="Estándar (Endesa, Gas Natural, etc.)",mixelectrico,0))</f>
        <v>0</v>
      </c>
    </row>
    <row r="548" spans="1:2">
      <c r="A548" s="63" t="s">
        <v>939</v>
      </c>
      <c r="B548" s="63" t="e">
        <f>VLOOKUP('Calculos 2'!A548,'Huella Completa'!A34:G712,3,FALSE)*(IF(VLOOKUP('Calculos 2'!A548,'Huella Completa'!A34:G712,4,FALSE)="Estándar (Endesa, Gas Natural, etc.)",mixelectrico,0))</f>
        <v>#N/A</v>
      </c>
    </row>
    <row r="549" spans="1:2">
      <c r="A549" s="63" t="s">
        <v>940</v>
      </c>
      <c r="B549" s="63" t="e">
        <f>VLOOKUP('Calculos 2'!A549,'Huella Completa'!A35:G713,3,FALSE)*(IF(VLOOKUP('Calculos 2'!A549,'Huella Completa'!A35:G713,4,FALSE)="Estándar (Endesa, Gas Natural, etc.)",mixelectrico,0))</f>
        <v>#N/A</v>
      </c>
    </row>
    <row r="550" spans="1:2">
      <c r="A550" s="63" t="s">
        <v>941</v>
      </c>
      <c r="B550" s="63" t="e">
        <f>VLOOKUP('Calculos 2'!A550,'Huella Completa'!A36:G714,3,FALSE)*(IF(VLOOKUP('Calculos 2'!A550,'Huella Completa'!A36:G714,4,FALSE)="Estándar (Endesa, Gas Natural, etc.)",mixelectrico,0))</f>
        <v>#N/A</v>
      </c>
    </row>
    <row r="551" spans="1:2">
      <c r="A551" s="63" t="s">
        <v>942</v>
      </c>
      <c r="B551" s="63" t="e">
        <f>VLOOKUP('Calculos 2'!A551,'Huella Completa'!A37:G715,3,FALSE)*(IF(VLOOKUP('Calculos 2'!A551,'Huella Completa'!A37:G715,4,FALSE)="Estándar (Endesa, Gas Natural, etc.)",mixelectrico,0))</f>
        <v>#N/A</v>
      </c>
    </row>
    <row r="552" spans="1:2">
      <c r="A552" s="63" t="s">
        <v>943</v>
      </c>
      <c r="B552" s="63" t="e">
        <f>VLOOKUP('Calculos 2'!A552,'Huella Completa'!A38:G716,3,FALSE)*(IF(VLOOKUP('Calculos 2'!A552,'Huella Completa'!A38:G716,4,FALSE)="Estándar (Endesa, Gas Natural, etc.)",mixelectrico,0))</f>
        <v>#N/A</v>
      </c>
    </row>
    <row r="553" spans="1:2">
      <c r="A553" s="63" t="s">
        <v>944</v>
      </c>
      <c r="B553" s="63" t="e">
        <f>VLOOKUP('Calculos 2'!A553,'Huella Completa'!A39:G717,3,FALSE)*(IF(VLOOKUP('Calculos 2'!A553,'Huella Completa'!A39:G717,4,FALSE)="Estándar (Endesa, Gas Natural, etc.)",mixelectrico,0))</f>
        <v>#N/A</v>
      </c>
    </row>
    <row r="554" spans="1:2">
      <c r="A554" s="63" t="s">
        <v>945</v>
      </c>
      <c r="B554" s="63" t="e">
        <f>VLOOKUP('Calculos 2'!A554,'Huella Completa'!A40:G718,3,FALSE)*(IF(VLOOKUP('Calculos 2'!A554,'Huella Completa'!A40:G718,4,FALSE)="Estándar (Endesa, Gas Natural, etc.)",mixelectrico,0))</f>
        <v>#N/A</v>
      </c>
    </row>
    <row r="555" spans="1:2">
      <c r="A555" s="63" t="s">
        <v>946</v>
      </c>
      <c r="B555" s="63" t="e">
        <f>VLOOKUP('Calculos 2'!A555,'Huella Completa'!A41:G719,3,FALSE)*(IF(VLOOKUP('Calculos 2'!A555,'Huella Completa'!A41:G719,4,FALSE)="Estándar (Endesa, Gas Natural, etc.)",mixelectrico,0))</f>
        <v>#N/A</v>
      </c>
    </row>
    <row r="556" spans="1:2">
      <c r="A556" s="63" t="s">
        <v>947</v>
      </c>
      <c r="B556" s="63" t="e">
        <f>VLOOKUP('Calculos 2'!A556,'Huella Completa'!A42:G720,3,FALSE)*(IF(VLOOKUP('Calculos 2'!A556,'Huella Completa'!A42:G720,4,FALSE)="Estándar (Endesa, Gas Natural, etc.)",mixelectrico,0))</f>
        <v>#N/A</v>
      </c>
    </row>
    <row r="557" spans="1:2">
      <c r="A557" s="63" t="s">
        <v>948</v>
      </c>
      <c r="B557" s="63" t="e">
        <f>VLOOKUP('Calculos 2'!A557,'Huella Completa'!A43:G721,3,FALSE)*(IF(VLOOKUP('Calculos 2'!A557,'Huella Completa'!A43:G721,4,FALSE)="Estándar (Endesa, Gas Natural, etc.)",mixelectrico,0))</f>
        <v>#N/A</v>
      </c>
    </row>
    <row r="558" spans="1:2">
      <c r="A558" s="63" t="s">
        <v>949</v>
      </c>
      <c r="B558" s="63" t="e">
        <f>VLOOKUP('Calculos 2'!A558,'Huella Completa'!A44:G722,3,FALSE)*(IF(VLOOKUP('Calculos 2'!A558,'Huella Completa'!A44:G722,4,FALSE)="Estándar (Endesa, Gas Natural, etc.)",mixelectrico,0))</f>
        <v>#N/A</v>
      </c>
    </row>
    <row r="559" spans="1:2">
      <c r="A559" s="63" t="s">
        <v>950</v>
      </c>
      <c r="B559" s="63" t="e">
        <f>VLOOKUP('Calculos 2'!A559,'Huella Completa'!A45:G723,3,FALSE)*(IF(VLOOKUP('Calculos 2'!A559,'Huella Completa'!A45:G723,4,FALSE)="Estándar (Endesa, Gas Natural, etc.)",mixelectrico,0))</f>
        <v>#N/A</v>
      </c>
    </row>
    <row r="560" spans="1:2">
      <c r="A560" s="63" t="s">
        <v>951</v>
      </c>
      <c r="B560" s="63" t="e">
        <f>VLOOKUP('Calculos 2'!A560,'Huella Completa'!A46:G724,3,FALSE)*(IF(VLOOKUP('Calculos 2'!A560,'Huella Completa'!A46:G724,4,FALSE)="Estándar (Endesa, Gas Natural, etc.)",mixelectrico,0))</f>
        <v>#N/A</v>
      </c>
    </row>
    <row r="561" spans="1:26">
      <c r="A561" s="63" t="s">
        <v>952</v>
      </c>
      <c r="B561" s="63" t="e">
        <f>VLOOKUP('Calculos 2'!A561,'Huella Completa'!A47:G725,3,FALSE)*(IF(VLOOKUP('Calculos 2'!A561,'Huella Completa'!A47:G725,4,FALSE)="Estándar (Endesa, Gas Natural, etc.)",mixelectrico,0))</f>
        <v>#N/A</v>
      </c>
    </row>
    <row r="562" spans="1:26">
      <c r="A562" s="63" t="s">
        <v>953</v>
      </c>
      <c r="B562" s="63" t="e">
        <f>VLOOKUP('Calculos 2'!A562,'Huella Completa'!A48:G726,3,FALSE)*(IF(VLOOKUP('Calculos 2'!A562,'Huella Completa'!A48:G726,4,FALSE)="Estándar (Endesa, Gas Natural, etc.)",mixelectrico,0))</f>
        <v>#N/A</v>
      </c>
    </row>
    <row r="563" spans="1:26">
      <c r="A563" s="63" t="s">
        <v>954</v>
      </c>
      <c r="B563" s="63" t="e">
        <f>VLOOKUP('Calculos 2'!A563,'Huella Completa'!A49:G727,3,FALSE)*(IF(VLOOKUP('Calculos 2'!A563,'Huella Completa'!A49:G727,4,FALSE)="Estándar (Endesa, Gas Natural, etc.)",mixelectrico,0))</f>
        <v>#N/A</v>
      </c>
    </row>
    <row r="564" spans="1:26">
      <c r="A564" s="63" t="s">
        <v>955</v>
      </c>
      <c r="B564" s="63" t="e">
        <f>VLOOKUP('Calculos 2'!A564,'Huella Completa'!A50:G728,3,FALSE)*(IF(VLOOKUP('Calculos 2'!A564,'Huella Completa'!A50:G728,4,FALSE)="Estándar (Endesa, Gas Natural, etc.)",mixelectrico,0))</f>
        <v>#N/A</v>
      </c>
    </row>
    <row r="565" spans="1:26">
      <c r="A565" s="63" t="s">
        <v>956</v>
      </c>
      <c r="B565" s="63" t="e">
        <f>VLOOKUP('Calculos 2'!A565,'Huella Completa'!A51:G729,3,FALSE)*(IF(VLOOKUP('Calculos 2'!A565,'Huella Completa'!A51:G729,4,FALSE)="Estándar (Endesa, Gas Natural, etc.)",mixelectrico,0))</f>
        <v>#N/A</v>
      </c>
    </row>
    <row r="566" spans="1:26">
      <c r="A566" s="63" t="s">
        <v>957</v>
      </c>
      <c r="B566" s="63" t="e">
        <f>VLOOKUP('Calculos 2'!A566,'Huella Completa'!A52:G730,3,FALSE)*(IF(VLOOKUP('Calculos 2'!A566,'Huella Completa'!A52:G730,4,FALSE)="Estándar (Endesa, Gas Natural, etc.)",mixelectrico,0))</f>
        <v>#N/A</v>
      </c>
    </row>
    <row r="567" spans="1:26">
      <c r="A567" s="63" t="s">
        <v>958</v>
      </c>
      <c r="B567" s="63" t="e">
        <f>VLOOKUP('Calculos 2'!A567,'Huella Completa'!A53:G731,3,FALSE)*(IF(VLOOKUP('Calculos 2'!A567,'Huella Completa'!A53:G731,4,FALSE)="Estándar (Endesa, Gas Natural, etc.)",mixelectrico,0))</f>
        <v>#N/A</v>
      </c>
    </row>
    <row r="568" spans="1:26" s="2" customFormat="1">
      <c r="A568" s="97" t="s">
        <v>1065</v>
      </c>
      <c r="B568" s="97"/>
      <c r="C568" s="97" t="e">
        <f ca="1">_xlfn.AGGREGATE(9,6,B538:B567)</f>
        <v>#NAME?</v>
      </c>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70" spans="1:26">
      <c r="A570" s="63" t="s">
        <v>990</v>
      </c>
      <c r="B570" s="63">
        <f>VLOOKUP('Calculos 2'!A570,'Huella Completa'!A16:G702,3,FALSE)*consumoagua/1000</f>
        <v>0</v>
      </c>
    </row>
    <row r="571" spans="1:26">
      <c r="A571" s="63" t="s">
        <v>991</v>
      </c>
      <c r="B571" s="63">
        <f>VLOOKUP('Calculos 2'!A571,'Huella Completa'!A17:G703,3,FALSE)*consumoagua/1000</f>
        <v>0</v>
      </c>
    </row>
    <row r="572" spans="1:26">
      <c r="A572" s="63" t="s">
        <v>992</v>
      </c>
      <c r="B572" s="63">
        <f>VLOOKUP('Calculos 2'!A572,'Huella Completa'!A18:G704,3,FALSE)*consumoagua/1000</f>
        <v>0</v>
      </c>
    </row>
    <row r="573" spans="1:26">
      <c r="A573" s="63" t="s">
        <v>993</v>
      </c>
      <c r="B573" s="63" t="e">
        <f>VLOOKUP('Calculos 2'!A573,'Huella Completa'!A19:G705,3,FALSE)*consumoagua/1000</f>
        <v>#N/A</v>
      </c>
    </row>
    <row r="574" spans="1:26">
      <c r="A574" s="63" t="s">
        <v>994</v>
      </c>
      <c r="B574" s="63" t="e">
        <f>VLOOKUP('Calculos 2'!A574,'Huella Completa'!A20:G706,3,FALSE)*consumoagua/1000</f>
        <v>#N/A</v>
      </c>
    </row>
    <row r="575" spans="1:26">
      <c r="A575" s="63" t="s">
        <v>1036</v>
      </c>
      <c r="B575" s="63" t="e">
        <f>VLOOKUP('Calculos 2'!A575,'Huella Completa'!A21:G707,3,FALSE)*consumoagua/1000</f>
        <v>#N/A</v>
      </c>
    </row>
    <row r="576" spans="1:26">
      <c r="A576" s="63" t="s">
        <v>1037</v>
      </c>
      <c r="B576" s="63" t="e">
        <f>VLOOKUP('Calculos 2'!A576,'Huella Completa'!A23:G708,3,FALSE)*consumoagua/1000</f>
        <v>#N/A</v>
      </c>
    </row>
    <row r="577" spans="1:2">
      <c r="A577" s="63" t="s">
        <v>1038</v>
      </c>
      <c r="B577" s="63" t="e">
        <f>VLOOKUP('Calculos 2'!A577,'Huella Completa'!A24:G709,3,FALSE)*consumoagua/1000</f>
        <v>#N/A</v>
      </c>
    </row>
    <row r="578" spans="1:2">
      <c r="A578" s="63" t="s">
        <v>1039</v>
      </c>
      <c r="B578" s="63" t="e">
        <f>VLOOKUP('Calculos 2'!A578,'Huella Completa'!A25:G710,3,FALSE)*consumoagua/1000</f>
        <v>#N/A</v>
      </c>
    </row>
    <row r="579" spans="1:2">
      <c r="A579" s="63" t="s">
        <v>1040</v>
      </c>
      <c r="B579" s="63" t="e">
        <f>VLOOKUP('Calculos 2'!A579,'Huella Completa'!A26:G711,3,FALSE)*consumoagua/1000</f>
        <v>#N/A</v>
      </c>
    </row>
    <row r="580" spans="1:2">
      <c r="A580" s="63" t="s">
        <v>1041</v>
      </c>
      <c r="B580" s="63" t="e">
        <f>VLOOKUP('Calculos 2'!A580,'Huella Completa'!A34:G712,3,FALSE)*consumoagua/1000</f>
        <v>#N/A</v>
      </c>
    </row>
    <row r="581" spans="1:2">
      <c r="A581" s="63" t="s">
        <v>1042</v>
      </c>
      <c r="B581" s="63" t="e">
        <f>VLOOKUP('Calculos 2'!A581,'Huella Completa'!A35:G713,3,FALSE)*consumoagua/1000</f>
        <v>#N/A</v>
      </c>
    </row>
    <row r="582" spans="1:2">
      <c r="A582" s="63" t="s">
        <v>1043</v>
      </c>
      <c r="B582" s="63" t="e">
        <f>VLOOKUP('Calculos 2'!A582,'Huella Completa'!A36:G714,3,FALSE)*consumoagua/1000</f>
        <v>#N/A</v>
      </c>
    </row>
    <row r="583" spans="1:2">
      <c r="A583" s="63" t="s">
        <v>1044</v>
      </c>
      <c r="B583" s="63" t="e">
        <f>VLOOKUP('Calculos 2'!A583,'Huella Completa'!A37:G715,3,FALSE)*consumoagua/1000</f>
        <v>#N/A</v>
      </c>
    </row>
    <row r="584" spans="1:2">
      <c r="A584" s="63" t="s">
        <v>1045</v>
      </c>
      <c r="B584" s="63" t="e">
        <f>VLOOKUP('Calculos 2'!A584,'Huella Completa'!A38:G716,3,FALSE)*consumoagua/1000</f>
        <v>#N/A</v>
      </c>
    </row>
    <row r="585" spans="1:2">
      <c r="A585" s="63" t="s">
        <v>1046</v>
      </c>
      <c r="B585" s="63" t="e">
        <f>VLOOKUP('Calculos 2'!A585,'Huella Completa'!A39:G717,3,FALSE)*consumoagua/1000</f>
        <v>#N/A</v>
      </c>
    </row>
    <row r="586" spans="1:2">
      <c r="A586" s="63" t="s">
        <v>1047</v>
      </c>
      <c r="B586" s="63" t="e">
        <f>VLOOKUP('Calculos 2'!A586,'Huella Completa'!A40:G718,3,FALSE)*consumoagua/1000</f>
        <v>#N/A</v>
      </c>
    </row>
    <row r="587" spans="1:2">
      <c r="A587" s="63" t="s">
        <v>1048</v>
      </c>
      <c r="B587" s="63" t="e">
        <f>VLOOKUP('Calculos 2'!A587,'Huella Completa'!A41:G719,3,FALSE)*consumoagua/1000</f>
        <v>#N/A</v>
      </c>
    </row>
    <row r="588" spans="1:2">
      <c r="A588" s="63" t="s">
        <v>1049</v>
      </c>
      <c r="B588" s="63" t="e">
        <f>VLOOKUP('Calculos 2'!A588,'Huella Completa'!A42:G720,3,FALSE)*consumoagua/1000</f>
        <v>#N/A</v>
      </c>
    </row>
    <row r="589" spans="1:2">
      <c r="A589" s="63" t="s">
        <v>1050</v>
      </c>
      <c r="B589" s="63" t="e">
        <f>VLOOKUP('Calculos 2'!A589,'Huella Completa'!A43:G721,3,FALSE)*consumoagua/1000</f>
        <v>#N/A</v>
      </c>
    </row>
    <row r="590" spans="1:2">
      <c r="A590" s="63" t="s">
        <v>1051</v>
      </c>
      <c r="B590" s="63" t="e">
        <f>VLOOKUP('Calculos 2'!A590,'Huella Completa'!A44:G722,3,FALSE)*consumoagua/1000</f>
        <v>#N/A</v>
      </c>
    </row>
    <row r="591" spans="1:2">
      <c r="A591" s="63" t="s">
        <v>1052</v>
      </c>
      <c r="B591" s="63" t="e">
        <f>VLOOKUP('Calculos 2'!A591,'Huella Completa'!A45:G723,3,FALSE)*consumoagua/1000</f>
        <v>#N/A</v>
      </c>
    </row>
    <row r="592" spans="1:2">
      <c r="A592" s="63" t="s">
        <v>1053</v>
      </c>
      <c r="B592" s="63" t="e">
        <f>VLOOKUP('Calculos 2'!A592,'Huella Completa'!A46:G724,3,FALSE)*consumoagua/1000</f>
        <v>#N/A</v>
      </c>
    </row>
    <row r="593" spans="1:26">
      <c r="A593" s="63" t="s">
        <v>1054</v>
      </c>
      <c r="B593" s="63" t="e">
        <f>VLOOKUP('Calculos 2'!A593,'Huella Completa'!A47:G725,3,FALSE)*consumoagua/1000</f>
        <v>#N/A</v>
      </c>
    </row>
    <row r="594" spans="1:26">
      <c r="A594" s="63" t="s">
        <v>1055</v>
      </c>
      <c r="B594" s="63" t="e">
        <f>VLOOKUP('Calculos 2'!A594,'Huella Completa'!A48:G726,3,FALSE)*consumoagua/1000</f>
        <v>#N/A</v>
      </c>
    </row>
    <row r="595" spans="1:26">
      <c r="A595" s="63" t="s">
        <v>1056</v>
      </c>
      <c r="B595" s="63" t="e">
        <f>VLOOKUP('Calculos 2'!A595,'Huella Completa'!A49:G727,3,FALSE)*consumoagua/1000</f>
        <v>#N/A</v>
      </c>
    </row>
    <row r="596" spans="1:26">
      <c r="A596" s="63" t="s">
        <v>1057</v>
      </c>
      <c r="B596" s="63" t="e">
        <f>VLOOKUP('Calculos 2'!A596,'Huella Completa'!A50:G728,3,FALSE)*consumoagua/1000</f>
        <v>#N/A</v>
      </c>
    </row>
    <row r="597" spans="1:26">
      <c r="A597" s="63" t="s">
        <v>1058</v>
      </c>
      <c r="B597" s="63" t="e">
        <f>VLOOKUP('Calculos 2'!A597,'Huella Completa'!A51:G729,3,FALSE)*consumoagua/1000</f>
        <v>#N/A</v>
      </c>
    </row>
    <row r="598" spans="1:26">
      <c r="A598" s="63" t="s">
        <v>1059</v>
      </c>
      <c r="B598" s="63" t="e">
        <f>VLOOKUP('Calculos 2'!A598,'Huella Completa'!A52:G730,3,FALSE)*consumoagua/1000</f>
        <v>#N/A</v>
      </c>
    </row>
    <row r="599" spans="1:26">
      <c r="A599" s="63" t="s">
        <v>1060</v>
      </c>
      <c r="B599" s="63" t="e">
        <f>VLOOKUP('Calculos 2'!A599,'Huella Completa'!A53:G731,3,FALSE)*consumoagua/1000</f>
        <v>#N/A</v>
      </c>
    </row>
    <row r="600" spans="1:26" s="2" customFormat="1">
      <c r="A600" s="97" t="s">
        <v>1078</v>
      </c>
      <c r="B600" s="97"/>
      <c r="C600" s="97" t="e">
        <f ca="1">_xlfn.AGGREGATE(9,6,B570:B599)</f>
        <v>#NAME?</v>
      </c>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4" spans="1:26">
      <c r="A604" s="63" t="s">
        <v>1109</v>
      </c>
      <c r="B604" s="63">
        <f>VLOOKUP('Calculos 2'!A604,'Huella Completa'!A58:G736,3,FALSE)*edsonido</f>
        <v>0</v>
      </c>
    </row>
    <row r="605" spans="1:26">
      <c r="A605" s="63" t="s">
        <v>1110</v>
      </c>
      <c r="B605" s="63">
        <f>VLOOKUP('Calculos 2'!A605,'Huella Completa'!A59:G737,3,FALSE)*edsonido</f>
        <v>0</v>
      </c>
    </row>
    <row r="606" spans="1:26">
      <c r="A606" s="63" t="s">
        <v>1111</v>
      </c>
      <c r="B606" s="63">
        <f>VLOOKUP('Calculos 2'!A606,'Huella Completa'!A60:G738,3,FALSE)*Foley</f>
        <v>0</v>
      </c>
    </row>
    <row r="607" spans="1:26">
      <c r="A607" s="63" t="s">
        <v>1112</v>
      </c>
      <c r="B607" s="63">
        <f>VLOOKUP('Calculos 2'!A607,'Huella Completa'!A61:G739,3,FALSE)*efectesp</f>
        <v>0</v>
      </c>
    </row>
    <row r="608" spans="1:26">
      <c r="A608" s="63" t="s">
        <v>1113</v>
      </c>
      <c r="B608" s="63">
        <f>VLOOKUP('Calculos 2'!A608,'Huella Completa'!A62:G740,3,FALSE)*lab</f>
        <v>0</v>
      </c>
    </row>
    <row r="609" spans="1:1">
      <c r="A609" s="63" t="s">
        <v>1114</v>
      </c>
    </row>
    <row r="610" spans="1:1">
      <c r="A610" s="63" t="s">
        <v>1115</v>
      </c>
    </row>
    <row r="611" spans="1:1">
      <c r="A611" s="63" t="s">
        <v>1116</v>
      </c>
    </row>
    <row r="612" spans="1:1">
      <c r="A612" s="63" t="s">
        <v>1117</v>
      </c>
    </row>
    <row r="613" spans="1:1">
      <c r="A613" s="63" t="s">
        <v>1118</v>
      </c>
    </row>
    <row r="614" spans="1:1">
      <c r="A614" s="63" t="s">
        <v>1119</v>
      </c>
    </row>
    <row r="615" spans="1:1">
      <c r="A615" s="63" t="s">
        <v>1120</v>
      </c>
    </row>
    <row r="616" spans="1:1">
      <c r="A616" s="63" t="s">
        <v>1121</v>
      </c>
    </row>
    <row r="617" spans="1:1">
      <c r="A617" s="63" t="s">
        <v>1122</v>
      </c>
    </row>
    <row r="618" spans="1:1">
      <c r="A618" s="63" t="s">
        <v>1123</v>
      </c>
    </row>
    <row r="619" spans="1:1">
      <c r="A619" s="63" t="s">
        <v>1124</v>
      </c>
    </row>
    <row r="620" spans="1:1">
      <c r="A620" s="63" t="s">
        <v>1125</v>
      </c>
    </row>
    <row r="621" spans="1:1">
      <c r="A621" s="63" t="s">
        <v>1126</v>
      </c>
    </row>
    <row r="622" spans="1:1">
      <c r="A622" s="63" t="s">
        <v>1127</v>
      </c>
    </row>
    <row r="623" spans="1:1">
      <c r="A623" s="63" t="s">
        <v>1128</v>
      </c>
    </row>
    <row r="624" spans="1:1">
      <c r="A624" s="63" t="s">
        <v>1129</v>
      </c>
    </row>
    <row r="625" spans="1:26">
      <c r="A625" s="63" t="s">
        <v>1130</v>
      </c>
    </row>
    <row r="626" spans="1:26">
      <c r="A626" s="63" t="s">
        <v>1131</v>
      </c>
    </row>
    <row r="627" spans="1:26">
      <c r="A627" s="63" t="s">
        <v>1132</v>
      </c>
    </row>
    <row r="628" spans="1:26">
      <c r="A628" s="63" t="s">
        <v>1133</v>
      </c>
    </row>
    <row r="629" spans="1:26">
      <c r="A629" s="63" t="s">
        <v>1134</v>
      </c>
    </row>
    <row r="630" spans="1:26">
      <c r="A630" s="63" t="s">
        <v>1135</v>
      </c>
    </row>
    <row r="631" spans="1:26">
      <c r="A631" s="63" t="s">
        <v>1136</v>
      </c>
    </row>
    <row r="632" spans="1:26">
      <c r="A632" s="63" t="s">
        <v>1137</v>
      </c>
    </row>
    <row r="633" spans="1:26">
      <c r="A633" s="63" t="s">
        <v>1138</v>
      </c>
    </row>
    <row r="634" spans="1:26" s="2" customFormat="1">
      <c r="A634" s="97" t="s">
        <v>1139</v>
      </c>
      <c r="B634" s="97"/>
      <c r="C634" s="97" t="e">
        <f ca="1">_xlfn.AGGREGATE(9,6,B604:B633)</f>
        <v>#NAME?</v>
      </c>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1020" spans="2:2">
      <c r="B1020" s="63" t="e">
        <f ca="1">_xlfn.AGGREGATE(9,6,B1:B1019)</f>
        <v>#NAME?</v>
      </c>
    </row>
  </sheetData>
  <sheetProtection algorithmName="SHA-512" hashValue="FpHBclb+PKnU6FlZl8T+9E831ym91busNNfR9464yowt8SW3y+LBWWaxoTN36Jw3LYSxuhXByNNxABXUW5U4Uw==" saltValue="kRi0SZs/DUZHztZpIrr6X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Hoja4">
    <tabColor rgb="FFFF0000"/>
  </sheetPr>
  <dimension ref="A1:Z117"/>
  <sheetViews>
    <sheetView topLeftCell="AA49" workbookViewId="0">
      <selection activeCell="Z49" sqref="A1:Z1048576"/>
    </sheetView>
  </sheetViews>
  <sheetFormatPr baseColWidth="10" defaultRowHeight="15"/>
  <cols>
    <col min="1" max="2" width="10.7109375" style="63" hidden="1" customWidth="1"/>
    <col min="3" max="3" width="23" style="63" hidden="1" customWidth="1"/>
    <col min="4" max="4" width="22.85546875" style="132" hidden="1" customWidth="1"/>
    <col min="5" max="26" width="10.7109375" style="63" hidden="1" customWidth="1"/>
  </cols>
  <sheetData>
    <row r="1" spans="1:5" ht="15.75" thickBot="1">
      <c r="A1" s="152" t="s">
        <v>99</v>
      </c>
      <c r="B1" s="164"/>
      <c r="C1" s="164"/>
      <c r="D1" s="153"/>
    </row>
    <row r="2" spans="1:5" ht="15.75" thickBot="1">
      <c r="A2" s="98"/>
      <c r="B2" s="98"/>
      <c r="C2" s="98"/>
      <c r="D2" s="99" t="s">
        <v>100</v>
      </c>
    </row>
    <row r="3" spans="1:5" ht="15.75" thickBot="1">
      <c r="A3" s="155" t="s">
        <v>101</v>
      </c>
      <c r="B3" s="165" t="s">
        <v>102</v>
      </c>
      <c r="C3" s="166"/>
      <c r="D3" s="100" t="s">
        <v>213</v>
      </c>
      <c r="E3" s="63" t="s">
        <v>164</v>
      </c>
    </row>
    <row r="4" spans="1:5" ht="15.75" thickBot="1">
      <c r="A4" s="157"/>
      <c r="B4" s="158" t="s">
        <v>103</v>
      </c>
      <c r="C4" s="159"/>
      <c r="D4" s="100">
        <v>2828</v>
      </c>
      <c r="E4" s="63" t="s">
        <v>165</v>
      </c>
    </row>
    <row r="5" spans="1:5" ht="15.75" thickBot="1">
      <c r="A5" s="101" t="s">
        <v>104</v>
      </c>
      <c r="B5" s="158" t="s">
        <v>105</v>
      </c>
      <c r="C5" s="159"/>
      <c r="D5" s="100">
        <v>0.43</v>
      </c>
      <c r="E5" s="63" t="s">
        <v>164</v>
      </c>
    </row>
    <row r="6" spans="1:5" ht="15.75" thickBot="1">
      <c r="A6" s="155" t="s">
        <v>106</v>
      </c>
      <c r="B6" s="158" t="s">
        <v>107</v>
      </c>
      <c r="C6" s="159"/>
      <c r="D6" s="102">
        <f>0.00027*1000</f>
        <v>0.27</v>
      </c>
      <c r="E6" s="103">
        <v>0.133595138</v>
      </c>
    </row>
    <row r="7" spans="1:5" ht="15.75" thickBot="1">
      <c r="A7" s="156"/>
      <c r="B7" s="155" t="s">
        <v>108</v>
      </c>
      <c r="C7" s="101" t="s">
        <v>109</v>
      </c>
      <c r="D7" s="100">
        <v>2.2050000000000001</v>
      </c>
      <c r="E7" s="63" t="s">
        <v>166</v>
      </c>
    </row>
    <row r="8" spans="1:5" ht="15.75" thickBot="1">
      <c r="A8" s="156"/>
      <c r="B8" s="157"/>
      <c r="C8" s="101" t="s">
        <v>110</v>
      </c>
      <c r="D8" s="100">
        <v>2.508</v>
      </c>
      <c r="E8" s="63" t="s">
        <v>166</v>
      </c>
    </row>
    <row r="9" spans="1:5" ht="15.75" thickBot="1">
      <c r="A9" s="156"/>
      <c r="B9" s="155" t="s">
        <v>111</v>
      </c>
      <c r="C9" s="101" t="s">
        <v>109</v>
      </c>
      <c r="D9" s="100">
        <v>69300</v>
      </c>
      <c r="E9" s="63" t="s">
        <v>207</v>
      </c>
    </row>
    <row r="10" spans="1:5" ht="15.75" thickBot="1">
      <c r="A10" s="156"/>
      <c r="B10" s="157"/>
      <c r="C10" s="101" t="s">
        <v>112</v>
      </c>
      <c r="D10" s="100">
        <v>71500</v>
      </c>
      <c r="E10" s="63" t="s">
        <v>207</v>
      </c>
    </row>
    <row r="11" spans="1:5" ht="15.75" thickBot="1">
      <c r="A11" s="156"/>
      <c r="B11" s="158" t="s">
        <v>113</v>
      </c>
      <c r="C11" s="159"/>
      <c r="D11" s="100" t="s">
        <v>214</v>
      </c>
      <c r="E11" s="63" t="s">
        <v>208</v>
      </c>
    </row>
    <row r="12" spans="1:5" ht="15.75" thickBot="1">
      <c r="A12" s="156"/>
      <c r="B12" s="158" t="s">
        <v>114</v>
      </c>
      <c r="C12" s="159"/>
      <c r="D12" s="100" t="s">
        <v>215</v>
      </c>
      <c r="E12" s="63" t="s">
        <v>208</v>
      </c>
    </row>
    <row r="13" spans="1:5" ht="15.75" thickBot="1">
      <c r="A13" s="156"/>
      <c r="B13" s="158" t="s">
        <v>115</v>
      </c>
      <c r="C13" s="159"/>
      <c r="D13" s="100" t="s">
        <v>216</v>
      </c>
      <c r="E13" s="63" t="s">
        <v>208</v>
      </c>
    </row>
    <row r="14" spans="1:5" ht="15.75" thickBot="1">
      <c r="A14" s="156"/>
      <c r="B14" s="155" t="s">
        <v>116</v>
      </c>
      <c r="C14" s="101" t="s">
        <v>168</v>
      </c>
      <c r="D14" s="100">
        <v>2.508</v>
      </c>
      <c r="E14" s="63" t="s">
        <v>166</v>
      </c>
    </row>
    <row r="15" spans="1:5" ht="15.75" thickBot="1">
      <c r="A15" s="156"/>
      <c r="B15" s="156"/>
      <c r="C15" s="101" t="s">
        <v>109</v>
      </c>
      <c r="D15" s="100">
        <v>2.2050000000000001</v>
      </c>
      <c r="E15" s="63" t="s">
        <v>166</v>
      </c>
    </row>
    <row r="16" spans="1:5" ht="15.75" thickBot="1">
      <c r="A16" s="156"/>
      <c r="B16" s="156"/>
      <c r="C16" s="101" t="s">
        <v>117</v>
      </c>
      <c r="D16" s="100">
        <v>2.0649999999999999</v>
      </c>
      <c r="E16" s="63" t="s">
        <v>166</v>
      </c>
    </row>
    <row r="17" spans="1:5" ht="15.75" thickBot="1">
      <c r="A17" s="156"/>
      <c r="B17" s="156"/>
      <c r="C17" s="101" t="s">
        <v>173</v>
      </c>
      <c r="D17" s="100">
        <v>1.671</v>
      </c>
      <c r="E17" s="63" t="s">
        <v>166</v>
      </c>
    </row>
    <row r="18" spans="1:5" ht="15.75" thickBot="1">
      <c r="A18" s="156"/>
      <c r="B18" s="157"/>
      <c r="C18" s="101" t="s">
        <v>118</v>
      </c>
      <c r="D18" s="100">
        <v>1.831</v>
      </c>
      <c r="E18" s="63" t="s">
        <v>166</v>
      </c>
    </row>
    <row r="19" spans="1:5" ht="15.75" thickBot="1">
      <c r="A19" s="157"/>
      <c r="B19" s="158" t="s">
        <v>119</v>
      </c>
      <c r="C19" s="159"/>
      <c r="D19" s="100">
        <v>1.669</v>
      </c>
      <c r="E19" s="63" t="s">
        <v>209</v>
      </c>
    </row>
    <row r="20" spans="1:5" ht="15.75" thickBot="1">
      <c r="A20" s="155" t="s">
        <v>120</v>
      </c>
      <c r="B20" s="158" t="s">
        <v>121</v>
      </c>
      <c r="C20" s="159"/>
      <c r="D20" s="100" t="s">
        <v>122</v>
      </c>
    </row>
    <row r="21" spans="1:5" ht="15.75" thickBot="1">
      <c r="A21" s="156"/>
      <c r="B21" s="158" t="s">
        <v>123</v>
      </c>
      <c r="C21" s="159"/>
      <c r="D21" s="100" t="s">
        <v>217</v>
      </c>
      <c r="E21" s="63" t="s">
        <v>210</v>
      </c>
    </row>
    <row r="22" spans="1:5" ht="15.75" thickBot="1">
      <c r="A22" s="156"/>
      <c r="B22" s="158" t="s">
        <v>124</v>
      </c>
      <c r="C22" s="159"/>
      <c r="D22" s="100" t="s">
        <v>218</v>
      </c>
      <c r="E22" s="63" t="s">
        <v>210</v>
      </c>
    </row>
    <row r="23" spans="1:5" ht="15.75" thickBot="1">
      <c r="A23" s="156"/>
      <c r="B23" s="158" t="s">
        <v>125</v>
      </c>
      <c r="C23" s="159"/>
      <c r="D23" s="100" t="s">
        <v>219</v>
      </c>
      <c r="E23" s="63" t="s">
        <v>210</v>
      </c>
    </row>
    <row r="24" spans="1:5" ht="15.75" thickBot="1">
      <c r="A24" s="156"/>
      <c r="B24" s="158" t="s">
        <v>126</v>
      </c>
      <c r="C24" s="159"/>
      <c r="D24" s="100" t="s">
        <v>220</v>
      </c>
      <c r="E24" s="63" t="s">
        <v>210</v>
      </c>
    </row>
    <row r="25" spans="1:5" ht="15.75" thickBot="1">
      <c r="A25" s="156"/>
      <c r="B25" s="160" t="s">
        <v>127</v>
      </c>
      <c r="C25" s="161"/>
      <c r="D25" s="100" t="s">
        <v>221</v>
      </c>
      <c r="E25" s="63" t="s">
        <v>222</v>
      </c>
    </row>
    <row r="26" spans="1:5" ht="15.75" thickBot="1">
      <c r="A26" s="157"/>
      <c r="B26" s="162"/>
      <c r="C26" s="163"/>
      <c r="D26" s="100" t="s">
        <v>223</v>
      </c>
      <c r="E26" s="63" t="s">
        <v>211</v>
      </c>
    </row>
    <row r="27" spans="1:5" ht="15.75" thickBot="1">
      <c r="A27" s="155" t="s">
        <v>99</v>
      </c>
      <c r="B27" s="158" t="s">
        <v>128</v>
      </c>
      <c r="C27" s="159"/>
      <c r="D27" s="104" t="s">
        <v>129</v>
      </c>
    </row>
    <row r="28" spans="1:5" ht="15.75" thickBot="1">
      <c r="A28" s="156"/>
      <c r="B28" s="152" t="s">
        <v>130</v>
      </c>
      <c r="C28" s="153"/>
      <c r="D28" s="100" t="s">
        <v>131</v>
      </c>
      <c r="E28" s="63" t="s">
        <v>212</v>
      </c>
    </row>
    <row r="29" spans="1:5" ht="15.75" thickBot="1">
      <c r="A29" s="156"/>
      <c r="B29" s="152" t="s">
        <v>132</v>
      </c>
      <c r="C29" s="153"/>
      <c r="D29" s="100" t="s">
        <v>133</v>
      </c>
      <c r="E29" s="63" t="s">
        <v>212</v>
      </c>
    </row>
    <row r="30" spans="1:5" ht="15.75" thickBot="1">
      <c r="A30" s="156"/>
      <c r="B30" s="152" t="s">
        <v>134</v>
      </c>
      <c r="C30" s="153"/>
      <c r="D30" s="100" t="s">
        <v>135</v>
      </c>
      <c r="E30" s="63" t="s">
        <v>212</v>
      </c>
    </row>
    <row r="31" spans="1:5" ht="25.5" customHeight="1" thickBot="1">
      <c r="A31" s="156"/>
      <c r="B31" s="152" t="s">
        <v>136</v>
      </c>
      <c r="C31" s="153"/>
      <c r="D31" s="100" t="s">
        <v>137</v>
      </c>
      <c r="E31" s="63" t="s">
        <v>212</v>
      </c>
    </row>
    <row r="32" spans="1:5" ht="15.75" thickBot="1">
      <c r="A32" s="156"/>
      <c r="B32" s="152" t="s">
        <v>138</v>
      </c>
      <c r="C32" s="153"/>
      <c r="D32" s="100" t="s">
        <v>139</v>
      </c>
      <c r="E32" s="63" t="s">
        <v>212</v>
      </c>
    </row>
    <row r="33" spans="1:5" ht="15.75" thickBot="1">
      <c r="A33" s="156"/>
      <c r="B33" s="152" t="s">
        <v>140</v>
      </c>
      <c r="C33" s="153"/>
      <c r="D33" s="100" t="s">
        <v>141</v>
      </c>
      <c r="E33" s="63" t="s">
        <v>212</v>
      </c>
    </row>
    <row r="34" spans="1:5" ht="15.75" thickBot="1">
      <c r="A34" s="156"/>
      <c r="B34" s="152" t="s">
        <v>142</v>
      </c>
      <c r="C34" s="153"/>
      <c r="D34" s="100" t="s">
        <v>135</v>
      </c>
      <c r="E34" s="63" t="s">
        <v>212</v>
      </c>
    </row>
    <row r="35" spans="1:5" ht="15.75" thickBot="1">
      <c r="A35" s="156"/>
      <c r="B35" s="152" t="s">
        <v>143</v>
      </c>
      <c r="C35" s="153"/>
      <c r="D35" s="100" t="s">
        <v>137</v>
      </c>
      <c r="E35" s="63" t="s">
        <v>212</v>
      </c>
    </row>
    <row r="36" spans="1:5" ht="25.5" customHeight="1" thickBot="1">
      <c r="A36" s="156"/>
      <c r="B36" s="152" t="s">
        <v>144</v>
      </c>
      <c r="C36" s="153"/>
      <c r="D36" s="100" t="s">
        <v>133</v>
      </c>
      <c r="E36" s="63" t="s">
        <v>212</v>
      </c>
    </row>
    <row r="37" spans="1:5" ht="15.75" thickBot="1">
      <c r="A37" s="156"/>
      <c r="B37" s="152" t="s">
        <v>145</v>
      </c>
      <c r="C37" s="153"/>
      <c r="D37" s="100" t="s">
        <v>141</v>
      </c>
      <c r="E37" s="63" t="s">
        <v>212</v>
      </c>
    </row>
    <row r="38" spans="1:5" ht="15.75" thickBot="1">
      <c r="A38" s="156"/>
      <c r="B38" s="152" t="s">
        <v>146</v>
      </c>
      <c r="C38" s="153"/>
      <c r="D38" s="100" t="s">
        <v>147</v>
      </c>
      <c r="E38" s="63" t="s">
        <v>212</v>
      </c>
    </row>
    <row r="39" spans="1:5" ht="15.75" thickBot="1">
      <c r="A39" s="156"/>
      <c r="B39" s="152" t="s">
        <v>148</v>
      </c>
      <c r="C39" s="153"/>
      <c r="D39" s="100" t="s">
        <v>149</v>
      </c>
      <c r="E39" s="63" t="s">
        <v>212</v>
      </c>
    </row>
    <row r="40" spans="1:5" ht="15.75" thickBot="1">
      <c r="A40" s="156"/>
      <c r="B40" s="152" t="s">
        <v>150</v>
      </c>
      <c r="C40" s="153"/>
      <c r="D40" s="100" t="s">
        <v>151</v>
      </c>
      <c r="E40" s="63" t="s">
        <v>212</v>
      </c>
    </row>
    <row r="41" spans="1:5" ht="25.5" customHeight="1" thickBot="1">
      <c r="A41" s="156"/>
      <c r="B41" s="152" t="s">
        <v>152</v>
      </c>
      <c r="C41" s="153"/>
      <c r="D41" s="100" t="s">
        <v>153</v>
      </c>
      <c r="E41" s="63" t="s">
        <v>212</v>
      </c>
    </row>
    <row r="42" spans="1:5" ht="15.75" thickBot="1">
      <c r="A42" s="156"/>
      <c r="B42" s="152" t="s">
        <v>154</v>
      </c>
      <c r="C42" s="153"/>
      <c r="D42" s="100" t="s">
        <v>155</v>
      </c>
      <c r="E42" s="63" t="s">
        <v>212</v>
      </c>
    </row>
    <row r="43" spans="1:5" ht="25.5" customHeight="1" thickBot="1">
      <c r="A43" s="156"/>
      <c r="B43" s="152" t="s">
        <v>156</v>
      </c>
      <c r="C43" s="153"/>
      <c r="D43" s="100" t="s">
        <v>157</v>
      </c>
      <c r="E43" s="63" t="s">
        <v>212</v>
      </c>
    </row>
    <row r="44" spans="1:5" ht="15.75" thickBot="1">
      <c r="A44" s="156"/>
      <c r="B44" s="152" t="s">
        <v>158</v>
      </c>
      <c r="C44" s="153"/>
      <c r="D44" s="100" t="s">
        <v>159</v>
      </c>
      <c r="E44" s="63" t="s">
        <v>212</v>
      </c>
    </row>
    <row r="45" spans="1:5" ht="15.75" thickBot="1">
      <c r="A45" s="156"/>
      <c r="B45" s="152" t="s">
        <v>160</v>
      </c>
      <c r="C45" s="153"/>
      <c r="D45" s="100" t="s">
        <v>157</v>
      </c>
      <c r="E45" s="63" t="s">
        <v>212</v>
      </c>
    </row>
    <row r="46" spans="1:5" ht="15.75" thickBot="1">
      <c r="A46" s="156"/>
      <c r="B46" s="152" t="s">
        <v>161</v>
      </c>
      <c r="C46" s="153"/>
      <c r="D46" s="100" t="s">
        <v>162</v>
      </c>
      <c r="E46" s="63" t="s">
        <v>212</v>
      </c>
    </row>
    <row r="47" spans="1:5" ht="15.75" thickBot="1">
      <c r="A47" s="157"/>
      <c r="B47" s="152" t="s">
        <v>163</v>
      </c>
      <c r="C47" s="153"/>
      <c r="D47" s="100" t="s">
        <v>133</v>
      </c>
      <c r="E47" s="63" t="s">
        <v>212</v>
      </c>
    </row>
    <row r="48" spans="1:5" ht="15.75" thickBot="1">
      <c r="A48" s="154" t="s">
        <v>224</v>
      </c>
      <c r="B48" s="154"/>
      <c r="C48" s="154"/>
      <c r="D48" s="154"/>
      <c r="E48" s="154"/>
    </row>
    <row r="49" spans="2:14" ht="15.75" thickBot="1">
      <c r="B49" s="140" t="s">
        <v>167</v>
      </c>
      <c r="C49" s="105" t="s">
        <v>168</v>
      </c>
      <c r="D49" s="106"/>
      <c r="E49" s="107"/>
      <c r="K49" s="140" t="s">
        <v>167</v>
      </c>
      <c r="L49" s="105" t="s">
        <v>168</v>
      </c>
      <c r="M49" s="107"/>
      <c r="N49" s="107"/>
    </row>
    <row r="50" spans="2:14" ht="15.75" thickBot="1">
      <c r="B50" s="141"/>
      <c r="C50" s="108"/>
      <c r="D50" s="106"/>
      <c r="E50" s="107"/>
      <c r="K50" s="141"/>
      <c r="L50" s="108"/>
      <c r="M50" s="107"/>
      <c r="N50" s="107"/>
    </row>
    <row r="51" spans="2:14" ht="15.75" thickBot="1">
      <c r="B51" s="141"/>
      <c r="C51" s="105" t="s">
        <v>109</v>
      </c>
      <c r="D51" s="109">
        <f>M51*1000</f>
        <v>2.4155499999999996</v>
      </c>
      <c r="E51" s="107" t="s">
        <v>166</v>
      </c>
      <c r="K51" s="141"/>
      <c r="L51" s="105" t="s">
        <v>109</v>
      </c>
      <c r="M51" s="110" t="s">
        <v>169</v>
      </c>
      <c r="N51" s="107" t="s">
        <v>170</v>
      </c>
    </row>
    <row r="52" spans="2:14" ht="27" thickBot="1">
      <c r="B52" s="141"/>
      <c r="C52" s="108"/>
      <c r="D52" s="109">
        <f t="shared" ref="D52:D69" si="0">M52*1000</f>
        <v>0.14358000000000001</v>
      </c>
      <c r="E52" s="107" t="s">
        <v>209</v>
      </c>
      <c r="K52" s="141"/>
      <c r="L52" s="108"/>
      <c r="M52" s="111" t="s">
        <v>171</v>
      </c>
      <c r="N52" s="107" t="s">
        <v>172</v>
      </c>
    </row>
    <row r="53" spans="2:14" ht="15.75" thickBot="1">
      <c r="B53" s="141"/>
      <c r="C53" s="105" t="s">
        <v>173</v>
      </c>
      <c r="D53" s="109">
        <f t="shared" si="0"/>
        <v>1.60947</v>
      </c>
      <c r="E53" s="107" t="s">
        <v>166</v>
      </c>
      <c r="K53" s="141"/>
      <c r="L53" s="105" t="s">
        <v>173</v>
      </c>
      <c r="M53" s="111" t="s">
        <v>174</v>
      </c>
      <c r="N53" s="107" t="s">
        <v>170</v>
      </c>
    </row>
    <row r="54" spans="2:14" ht="27.75" thickBot="1">
      <c r="B54" s="142"/>
      <c r="C54" s="108"/>
      <c r="D54" s="109">
        <f t="shared" si="0"/>
        <v>0.15295</v>
      </c>
      <c r="E54" s="107" t="s">
        <v>209</v>
      </c>
      <c r="K54" s="142"/>
      <c r="L54" s="108"/>
      <c r="M54" s="112" t="s">
        <v>175</v>
      </c>
      <c r="N54" s="107" t="s">
        <v>172</v>
      </c>
    </row>
    <row r="55" spans="2:14" ht="29.25" thickBot="1">
      <c r="B55" s="143" t="s">
        <v>104</v>
      </c>
      <c r="C55" s="113" t="s">
        <v>176</v>
      </c>
      <c r="D55" s="109">
        <f t="shared" si="0"/>
        <v>0.4</v>
      </c>
      <c r="E55" s="107" t="s">
        <v>164</v>
      </c>
      <c r="K55" s="143" t="s">
        <v>104</v>
      </c>
      <c r="L55" s="113" t="s">
        <v>176</v>
      </c>
      <c r="M55" s="112" t="s">
        <v>177</v>
      </c>
      <c r="N55" s="107" t="s">
        <v>178</v>
      </c>
    </row>
    <row r="56" spans="2:14" ht="27.75" thickBot="1">
      <c r="B56" s="144"/>
      <c r="C56" s="113" t="s">
        <v>179</v>
      </c>
      <c r="D56" s="109">
        <f t="shared" si="0"/>
        <v>0.20087999999999998</v>
      </c>
      <c r="E56" s="107" t="s">
        <v>164</v>
      </c>
      <c r="K56" s="144"/>
      <c r="L56" s="113" t="s">
        <v>179</v>
      </c>
      <c r="M56" s="112" t="s">
        <v>180</v>
      </c>
      <c r="N56" s="107" t="s">
        <v>178</v>
      </c>
    </row>
    <row r="57" spans="2:14" ht="29.25" thickBot="1">
      <c r="B57" s="145"/>
      <c r="C57" s="113" t="s">
        <v>181</v>
      </c>
      <c r="D57" s="109">
        <f t="shared" si="0"/>
        <v>0.26387999999999995</v>
      </c>
      <c r="E57" s="107" t="s">
        <v>164</v>
      </c>
      <c r="K57" s="145"/>
      <c r="L57" s="113" t="s">
        <v>181</v>
      </c>
      <c r="M57" s="112" t="s">
        <v>182</v>
      </c>
      <c r="N57" s="107" t="s">
        <v>178</v>
      </c>
    </row>
    <row r="58" spans="2:14" ht="27.75" thickBot="1">
      <c r="B58" s="146" t="s">
        <v>106</v>
      </c>
      <c r="C58" s="113" t="s">
        <v>183</v>
      </c>
      <c r="D58" s="109">
        <f t="shared" si="0"/>
        <v>1.01</v>
      </c>
      <c r="E58" s="107" t="s">
        <v>209</v>
      </c>
      <c r="K58" s="146" t="s">
        <v>106</v>
      </c>
      <c r="L58" s="113" t="s">
        <v>183</v>
      </c>
      <c r="M58" s="112" t="s">
        <v>184</v>
      </c>
      <c r="N58" s="107" t="s">
        <v>172</v>
      </c>
    </row>
    <row r="59" spans="2:14" ht="27.75" thickBot="1">
      <c r="B59" s="147"/>
      <c r="C59" s="113" t="s">
        <v>185</v>
      </c>
      <c r="D59" s="109">
        <f t="shared" si="0"/>
        <v>1.0399999999999998</v>
      </c>
      <c r="E59" s="107" t="s">
        <v>209</v>
      </c>
      <c r="K59" s="147"/>
      <c r="L59" s="113" t="s">
        <v>185</v>
      </c>
      <c r="M59" s="112" t="s">
        <v>186</v>
      </c>
      <c r="N59" s="107" t="s">
        <v>172</v>
      </c>
    </row>
    <row r="60" spans="2:14" ht="27.75" thickBot="1">
      <c r="B60" s="147"/>
      <c r="C60" s="113" t="s">
        <v>187</v>
      </c>
      <c r="D60" s="109">
        <f t="shared" si="0"/>
        <v>6.0000000000000005E-2</v>
      </c>
      <c r="E60" s="107" t="s">
        <v>209</v>
      </c>
      <c r="K60" s="147"/>
      <c r="L60" s="113" t="s">
        <v>187</v>
      </c>
      <c r="M60" s="112" t="s">
        <v>188</v>
      </c>
      <c r="N60" s="107" t="s">
        <v>172</v>
      </c>
    </row>
    <row r="61" spans="2:14" ht="27.75" thickBot="1">
      <c r="B61" s="147"/>
      <c r="C61" s="113" t="s">
        <v>189</v>
      </c>
      <c r="D61" s="109">
        <f t="shared" si="0"/>
        <v>2.7E-2</v>
      </c>
      <c r="E61" s="107" t="s">
        <v>209</v>
      </c>
      <c r="K61" s="147"/>
      <c r="L61" s="113" t="s">
        <v>189</v>
      </c>
      <c r="M61" s="112" t="s">
        <v>190</v>
      </c>
      <c r="N61" s="107" t="s">
        <v>172</v>
      </c>
    </row>
    <row r="62" spans="2:14" ht="27.75" thickBot="1">
      <c r="B62" s="147"/>
      <c r="C62" s="113" t="s">
        <v>191</v>
      </c>
      <c r="D62" s="109">
        <f t="shared" si="0"/>
        <v>0.21000000000000002</v>
      </c>
      <c r="E62" s="107" t="s">
        <v>209</v>
      </c>
      <c r="K62" s="147"/>
      <c r="L62" s="113" t="s">
        <v>191</v>
      </c>
      <c r="M62" s="112" t="s">
        <v>192</v>
      </c>
      <c r="N62" s="107" t="s">
        <v>172</v>
      </c>
    </row>
    <row r="63" spans="2:14" ht="29.25" thickBot="1">
      <c r="B63" s="147"/>
      <c r="C63" s="113" t="s">
        <v>193</v>
      </c>
      <c r="D63" s="109">
        <f t="shared" si="0"/>
        <v>0.21000000000000002</v>
      </c>
      <c r="E63" s="107" t="s">
        <v>209</v>
      </c>
      <c r="K63" s="147"/>
      <c r="L63" s="113" t="s">
        <v>193</v>
      </c>
      <c r="M63" s="112" t="s">
        <v>192</v>
      </c>
      <c r="N63" s="107" t="s">
        <v>172</v>
      </c>
    </row>
    <row r="64" spans="2:14" ht="29.25" thickBot="1">
      <c r="B64" s="147"/>
      <c r="C64" s="113" t="s">
        <v>194</v>
      </c>
      <c r="D64" s="109">
        <f t="shared" si="0"/>
        <v>6.4999999999999988E-2</v>
      </c>
      <c r="E64" s="107" t="s">
        <v>209</v>
      </c>
      <c r="K64" s="147"/>
      <c r="L64" s="113" t="s">
        <v>194</v>
      </c>
      <c r="M64" s="112" t="s">
        <v>195</v>
      </c>
      <c r="N64" s="107" t="s">
        <v>172</v>
      </c>
    </row>
    <row r="65" spans="1:14" ht="29.25" thickBot="1">
      <c r="B65" s="148"/>
      <c r="C65" s="113" t="s">
        <v>196</v>
      </c>
      <c r="D65" s="109">
        <f t="shared" si="0"/>
        <v>0.27</v>
      </c>
      <c r="E65" s="107" t="s">
        <v>209</v>
      </c>
      <c r="K65" s="148"/>
      <c r="L65" s="113" t="s">
        <v>196</v>
      </c>
      <c r="M65" s="112" t="s">
        <v>197</v>
      </c>
      <c r="N65" s="107" t="s">
        <v>172</v>
      </c>
    </row>
    <row r="66" spans="1:14" ht="29.25" thickBot="1">
      <c r="B66" s="149" t="s">
        <v>198</v>
      </c>
      <c r="C66" s="113" t="s">
        <v>199</v>
      </c>
      <c r="D66" s="109">
        <f t="shared" si="0"/>
        <v>12</v>
      </c>
      <c r="E66" s="107" t="s">
        <v>480</v>
      </c>
      <c r="K66" s="149" t="s">
        <v>198</v>
      </c>
      <c r="L66" s="113" t="s">
        <v>199</v>
      </c>
      <c r="M66" s="112" t="s">
        <v>200</v>
      </c>
      <c r="N66" s="107" t="s">
        <v>201</v>
      </c>
    </row>
    <row r="67" spans="1:14" ht="27.75" thickBot="1">
      <c r="B67" s="150"/>
      <c r="C67" s="113" t="s">
        <v>202</v>
      </c>
      <c r="D67" s="109">
        <f t="shared" si="0"/>
        <v>1.4300000000000002</v>
      </c>
      <c r="E67" s="107" t="s">
        <v>481</v>
      </c>
      <c r="K67" s="150"/>
      <c r="L67" s="113" t="s">
        <v>202</v>
      </c>
      <c r="M67" s="112" t="s">
        <v>203</v>
      </c>
      <c r="N67" s="107" t="s">
        <v>204</v>
      </c>
    </row>
    <row r="68" spans="1:14" ht="27.75" thickBot="1">
      <c r="B68" s="150"/>
      <c r="C68" s="113" t="s">
        <v>1143</v>
      </c>
      <c r="D68" s="109">
        <f>comida*0.8</f>
        <v>1.1440000000000001</v>
      </c>
      <c r="E68" s="107" t="s">
        <v>481</v>
      </c>
      <c r="K68" s="150"/>
      <c r="L68" s="113"/>
      <c r="M68" s="112"/>
      <c r="N68" s="107"/>
    </row>
    <row r="69" spans="1:14" ht="43.5" thickBot="1">
      <c r="B69" s="151"/>
      <c r="C69" s="113" t="s">
        <v>205</v>
      </c>
      <c r="D69" s="109">
        <f t="shared" si="0"/>
        <v>0.85799999999999998</v>
      </c>
      <c r="E69" s="107" t="s">
        <v>481</v>
      </c>
      <c r="K69" s="151"/>
      <c r="L69" s="113" t="s">
        <v>205</v>
      </c>
      <c r="M69" s="112" t="s">
        <v>206</v>
      </c>
      <c r="N69" s="107" t="s">
        <v>204</v>
      </c>
    </row>
    <row r="70" spans="1:14" ht="15.75" thickBot="1">
      <c r="A70" s="139" t="s">
        <v>225</v>
      </c>
      <c r="B70" s="139"/>
      <c r="C70" s="139"/>
      <c r="D70" s="139"/>
      <c r="E70" s="139"/>
    </row>
    <row r="71" spans="1:14" ht="15.75" thickBot="1">
      <c r="B71" s="173" t="s">
        <v>167</v>
      </c>
      <c r="C71" s="114" t="s">
        <v>226</v>
      </c>
      <c r="D71" s="115" t="s">
        <v>227</v>
      </c>
      <c r="E71" s="114" t="s">
        <v>228</v>
      </c>
      <c r="K71" s="173" t="s">
        <v>167</v>
      </c>
      <c r="L71" s="114" t="s">
        <v>226</v>
      </c>
      <c r="M71" s="114" t="s">
        <v>227</v>
      </c>
      <c r="N71" s="114" t="s">
        <v>228</v>
      </c>
    </row>
    <row r="72" spans="1:14" ht="39.75" thickBot="1">
      <c r="B72" s="174"/>
      <c r="C72" s="116" t="s">
        <v>229</v>
      </c>
      <c r="D72" s="117">
        <f>M72/H73</f>
        <v>1.8716804158661995</v>
      </c>
      <c r="E72" s="116" t="s">
        <v>231</v>
      </c>
      <c r="G72" s="63" t="s">
        <v>299</v>
      </c>
      <c r="H72" s="118">
        <v>3.7854117999999999</v>
      </c>
      <c r="I72" s="63" t="s">
        <v>300</v>
      </c>
      <c r="K72" s="174"/>
      <c r="L72" s="116" t="s">
        <v>229</v>
      </c>
      <c r="M72" s="119" t="s">
        <v>230</v>
      </c>
      <c r="N72" s="116" t="s">
        <v>231</v>
      </c>
    </row>
    <row r="73" spans="1:14" ht="27" thickBot="1">
      <c r="B73" s="174"/>
      <c r="C73" s="116" t="s">
        <v>232</v>
      </c>
      <c r="D73" s="102">
        <f>M73/$H$72</f>
        <v>2.6971966431763121</v>
      </c>
      <c r="E73" s="116" t="s">
        <v>166</v>
      </c>
      <c r="G73" s="63" t="s">
        <v>301</v>
      </c>
      <c r="H73" s="63">
        <v>2.83168E-2</v>
      </c>
      <c r="I73" s="63" t="s">
        <v>302</v>
      </c>
      <c r="K73" s="174"/>
      <c r="L73" s="116" t="s">
        <v>232</v>
      </c>
      <c r="M73" s="116" t="s">
        <v>233</v>
      </c>
      <c r="N73" s="116" t="s">
        <v>234</v>
      </c>
    </row>
    <row r="74" spans="1:14" ht="27" thickBot="1">
      <c r="B74" s="174"/>
      <c r="C74" s="116" t="s">
        <v>235</v>
      </c>
      <c r="D74" s="102">
        <f t="shared" ref="D74:D91" si="1">M74/$H$72</f>
        <v>2.6813463201018184</v>
      </c>
      <c r="E74" s="116" t="s">
        <v>166</v>
      </c>
      <c r="G74" s="63" t="s">
        <v>304</v>
      </c>
      <c r="H74" s="63">
        <v>1.60934</v>
      </c>
      <c r="I74" s="63" t="s">
        <v>305</v>
      </c>
      <c r="K74" s="174"/>
      <c r="L74" s="116" t="s">
        <v>235</v>
      </c>
      <c r="M74" s="116" t="s">
        <v>236</v>
      </c>
      <c r="N74" s="116" t="s">
        <v>234</v>
      </c>
    </row>
    <row r="75" spans="1:14" ht="27" thickBot="1">
      <c r="B75" s="174"/>
      <c r="C75" s="116" t="s">
        <v>237</v>
      </c>
      <c r="D75" s="102">
        <f t="shared" si="1"/>
        <v>1.4767217664403118</v>
      </c>
      <c r="E75" s="116" t="s">
        <v>166</v>
      </c>
      <c r="K75" s="174"/>
      <c r="L75" s="116" t="s">
        <v>237</v>
      </c>
      <c r="M75" s="116" t="s">
        <v>238</v>
      </c>
      <c r="N75" s="116" t="s">
        <v>234</v>
      </c>
    </row>
    <row r="76" spans="1:14" ht="27" thickBot="1">
      <c r="B76" s="174"/>
      <c r="C76" s="116" t="s">
        <v>239</v>
      </c>
      <c r="D76" s="102">
        <f t="shared" si="1"/>
        <v>2.3194306099008832</v>
      </c>
      <c r="E76" s="116" t="s">
        <v>166</v>
      </c>
      <c r="K76" s="174"/>
      <c r="L76" s="116" t="s">
        <v>239</v>
      </c>
      <c r="M76" s="116" t="s">
        <v>240</v>
      </c>
      <c r="N76" s="116" t="s">
        <v>234</v>
      </c>
    </row>
    <row r="77" spans="1:14" ht="27" thickBot="1">
      <c r="B77" s="174"/>
      <c r="C77" s="116" t="s">
        <v>241</v>
      </c>
      <c r="D77" s="102">
        <f t="shared" si="1"/>
        <v>2.6971966431763121</v>
      </c>
      <c r="E77" s="116" t="s">
        <v>166</v>
      </c>
      <c r="K77" s="174"/>
      <c r="L77" s="116" t="s">
        <v>241</v>
      </c>
      <c r="M77" s="116" t="s">
        <v>233</v>
      </c>
      <c r="N77" s="116" t="s">
        <v>234</v>
      </c>
    </row>
    <row r="78" spans="1:14" ht="27" thickBot="1">
      <c r="B78" s="174"/>
      <c r="C78" s="116" t="s">
        <v>242</v>
      </c>
      <c r="D78" s="102">
        <f t="shared" si="1"/>
        <v>2.1952697458173507</v>
      </c>
      <c r="E78" s="116" t="s">
        <v>166</v>
      </c>
      <c r="K78" s="174"/>
      <c r="L78" s="116" t="s">
        <v>242</v>
      </c>
      <c r="M78" s="116" t="s">
        <v>243</v>
      </c>
      <c r="N78" s="116" t="s">
        <v>234</v>
      </c>
    </row>
    <row r="79" spans="1:14" ht="27" thickBot="1">
      <c r="B79" s="174"/>
      <c r="C79" s="116" t="s">
        <v>244</v>
      </c>
      <c r="D79" s="102">
        <f t="shared" si="1"/>
        <v>2.5756774996051948</v>
      </c>
      <c r="E79" s="116" t="s">
        <v>166</v>
      </c>
      <c r="K79" s="174"/>
      <c r="L79" s="116" t="s">
        <v>244</v>
      </c>
      <c r="M79" s="116" t="s">
        <v>245</v>
      </c>
      <c r="N79" s="116" t="s">
        <v>234</v>
      </c>
    </row>
    <row r="80" spans="1:14" ht="27" thickBot="1">
      <c r="B80" s="174"/>
      <c r="C80" s="116" t="s">
        <v>235</v>
      </c>
      <c r="D80" s="102">
        <f t="shared" si="1"/>
        <v>2.6813463201018184</v>
      </c>
      <c r="E80" s="116" t="s">
        <v>166</v>
      </c>
      <c r="K80" s="174"/>
      <c r="L80" s="116" t="s">
        <v>235</v>
      </c>
      <c r="M80" s="116" t="s">
        <v>236</v>
      </c>
      <c r="N80" s="116" t="s">
        <v>234</v>
      </c>
    </row>
    <row r="81" spans="2:14" ht="27" thickBot="1">
      <c r="B81" s="174"/>
      <c r="C81" s="116" t="s">
        <v>246</v>
      </c>
      <c r="D81" s="102">
        <f t="shared" si="1"/>
        <v>2.9772190174923638</v>
      </c>
      <c r="E81" s="116" t="s">
        <v>166</v>
      </c>
      <c r="K81" s="174"/>
      <c r="L81" s="116" t="s">
        <v>246</v>
      </c>
      <c r="M81" s="116" t="s">
        <v>247</v>
      </c>
      <c r="N81" s="116" t="s">
        <v>234</v>
      </c>
    </row>
    <row r="82" spans="2:14" ht="27" thickBot="1">
      <c r="B82" s="174"/>
      <c r="C82" s="116" t="s">
        <v>248</v>
      </c>
      <c r="D82" s="102">
        <f t="shared" si="1"/>
        <v>2.4964258842327274</v>
      </c>
      <c r="E82" s="116" t="s">
        <v>166</v>
      </c>
      <c r="K82" s="174"/>
      <c r="L82" s="116" t="s">
        <v>248</v>
      </c>
      <c r="M82" s="116" t="s">
        <v>249</v>
      </c>
      <c r="N82" s="116" t="s">
        <v>234</v>
      </c>
    </row>
    <row r="83" spans="2:14" ht="27" thickBot="1">
      <c r="B83" s="174"/>
      <c r="C83" s="116" t="s">
        <v>250</v>
      </c>
      <c r="D83" s="102">
        <f t="shared" si="1"/>
        <v>2.6866297611266496</v>
      </c>
      <c r="E83" s="116" t="s">
        <v>166</v>
      </c>
      <c r="K83" s="174"/>
      <c r="L83" s="116" t="s">
        <v>250</v>
      </c>
      <c r="M83" s="116" t="s">
        <v>251</v>
      </c>
      <c r="N83" s="116" t="s">
        <v>234</v>
      </c>
    </row>
    <row r="84" spans="2:14" ht="27" thickBot="1">
      <c r="B84" s="174"/>
      <c r="C84" s="116" t="s">
        <v>252</v>
      </c>
      <c r="D84" s="102">
        <f t="shared" si="1"/>
        <v>2.6575708354900782</v>
      </c>
      <c r="E84" s="116" t="s">
        <v>166</v>
      </c>
      <c r="K84" s="174"/>
      <c r="L84" s="116" t="s">
        <v>252</v>
      </c>
      <c r="M84" s="116" t="s">
        <v>253</v>
      </c>
      <c r="N84" s="116" t="s">
        <v>234</v>
      </c>
    </row>
    <row r="85" spans="2:14" ht="27" thickBot="1">
      <c r="B85" s="174"/>
      <c r="C85" s="116" t="s">
        <v>254</v>
      </c>
      <c r="D85" s="102">
        <f t="shared" si="1"/>
        <v>2.6179450278038443</v>
      </c>
      <c r="E85" s="116" t="s">
        <v>166</v>
      </c>
      <c r="K85" s="174"/>
      <c r="L85" s="116" t="s">
        <v>254</v>
      </c>
      <c r="M85" s="116" t="s">
        <v>255</v>
      </c>
      <c r="N85" s="116" t="s">
        <v>234</v>
      </c>
    </row>
    <row r="86" spans="2:14" ht="27" thickBot="1">
      <c r="B86" s="174"/>
      <c r="C86" s="116" t="s">
        <v>256</v>
      </c>
      <c r="D86" s="102">
        <f t="shared" si="1"/>
        <v>2.499067604745143</v>
      </c>
      <c r="E86" s="116" t="s">
        <v>166</v>
      </c>
      <c r="K86" s="174"/>
      <c r="L86" s="116" t="s">
        <v>256</v>
      </c>
      <c r="M86" s="116" t="s">
        <v>257</v>
      </c>
      <c r="N86" s="116" t="s">
        <v>234</v>
      </c>
    </row>
    <row r="87" spans="2:14" ht="27" thickBot="1">
      <c r="B87" s="174"/>
      <c r="C87" s="116" t="s">
        <v>258</v>
      </c>
      <c r="D87" s="102">
        <f t="shared" si="1"/>
        <v>1.5189892946389612</v>
      </c>
      <c r="E87" s="116" t="s">
        <v>166</v>
      </c>
      <c r="K87" s="174"/>
      <c r="L87" s="116" t="s">
        <v>258</v>
      </c>
      <c r="M87" s="116" t="s">
        <v>259</v>
      </c>
      <c r="N87" s="116" t="s">
        <v>234</v>
      </c>
    </row>
    <row r="88" spans="2:14" ht="27" thickBot="1">
      <c r="B88" s="174"/>
      <c r="C88" s="116" t="s">
        <v>260</v>
      </c>
      <c r="D88" s="102">
        <f t="shared" si="1"/>
        <v>1.6378667176976625</v>
      </c>
      <c r="E88" s="116" t="s">
        <v>166</v>
      </c>
      <c r="K88" s="174"/>
      <c r="L88" s="116" t="s">
        <v>260</v>
      </c>
      <c r="M88" s="116" t="s">
        <v>261</v>
      </c>
      <c r="N88" s="116" t="s">
        <v>234</v>
      </c>
    </row>
    <row r="89" spans="2:14" ht="27" thickBot="1">
      <c r="B89" s="174"/>
      <c r="C89" s="116" t="s">
        <v>262</v>
      </c>
      <c r="D89" s="102">
        <f t="shared" si="1"/>
        <v>1.1782073485373508</v>
      </c>
      <c r="E89" s="116" t="s">
        <v>166</v>
      </c>
      <c r="K89" s="174"/>
      <c r="L89" s="116" t="s">
        <v>262</v>
      </c>
      <c r="M89" s="116" t="s">
        <v>263</v>
      </c>
      <c r="N89" s="116" t="s">
        <v>234</v>
      </c>
    </row>
    <row r="90" spans="2:14" ht="27" thickBot="1">
      <c r="B90" s="174"/>
      <c r="C90" s="116" t="s">
        <v>264</v>
      </c>
      <c r="D90" s="102">
        <f t="shared" si="1"/>
        <v>1.5295561766886234</v>
      </c>
      <c r="E90" s="116" t="s">
        <v>166</v>
      </c>
      <c r="K90" s="174"/>
      <c r="L90" s="116" t="s">
        <v>264</v>
      </c>
      <c r="M90" s="116" t="s">
        <v>265</v>
      </c>
      <c r="N90" s="116" t="s">
        <v>234</v>
      </c>
    </row>
    <row r="91" spans="2:14" ht="90.75" thickBot="1">
      <c r="B91" s="175"/>
      <c r="C91" s="116" t="s">
        <v>266</v>
      </c>
      <c r="D91" s="102">
        <f t="shared" si="1"/>
        <v>18867.96041582583</v>
      </c>
      <c r="E91" s="116" t="s">
        <v>166</v>
      </c>
      <c r="K91" s="175"/>
      <c r="L91" s="116" t="s">
        <v>266</v>
      </c>
      <c r="M91" s="120">
        <v>71423</v>
      </c>
      <c r="N91" s="116" t="s">
        <v>267</v>
      </c>
    </row>
    <row r="92" spans="2:14" ht="27" thickBot="1">
      <c r="B92" s="121" t="s">
        <v>104</v>
      </c>
      <c r="C92" s="107"/>
      <c r="D92" s="122" t="s">
        <v>268</v>
      </c>
      <c r="E92" s="123" t="s">
        <v>303</v>
      </c>
      <c r="K92" s="121" t="s">
        <v>104</v>
      </c>
      <c r="L92" s="107"/>
      <c r="M92" s="124" t="s">
        <v>268</v>
      </c>
      <c r="N92" s="123" t="s">
        <v>269</v>
      </c>
    </row>
    <row r="93" spans="2:14" ht="39.75" thickBot="1">
      <c r="B93" s="146" t="s">
        <v>270</v>
      </c>
      <c r="C93" s="167" t="s">
        <v>271</v>
      </c>
      <c r="D93" s="125" t="s">
        <v>272</v>
      </c>
      <c r="E93" s="126" t="s">
        <v>273</v>
      </c>
      <c r="K93" s="146" t="s">
        <v>270</v>
      </c>
      <c r="L93" s="167" t="s">
        <v>271</v>
      </c>
      <c r="M93" s="127" t="s">
        <v>272</v>
      </c>
      <c r="N93" s="126" t="s">
        <v>273</v>
      </c>
    </row>
    <row r="94" spans="2:14" ht="15.75" thickBot="1">
      <c r="B94" s="147"/>
      <c r="C94" s="168"/>
      <c r="D94" s="102">
        <f>N94/$H$74</f>
        <v>0.18019809362844394</v>
      </c>
      <c r="E94" s="116" t="s">
        <v>274</v>
      </c>
      <c r="K94" s="147"/>
      <c r="L94" s="168"/>
      <c r="M94" s="116" t="s">
        <v>274</v>
      </c>
      <c r="N94" s="103" t="s">
        <v>275</v>
      </c>
    </row>
    <row r="95" spans="2:14" ht="15.75" thickBot="1">
      <c r="B95" s="147"/>
      <c r="C95" s="168"/>
      <c r="D95" s="102">
        <f t="shared" ref="D95:D97" si="2">N95/$H$74</f>
        <v>0.10252650154721812</v>
      </c>
      <c r="E95" s="116" t="s">
        <v>276</v>
      </c>
      <c r="K95" s="147"/>
      <c r="L95" s="168"/>
      <c r="M95" s="116" t="s">
        <v>276</v>
      </c>
      <c r="N95" s="103" t="s">
        <v>277</v>
      </c>
    </row>
    <row r="96" spans="2:14" ht="15.75" thickBot="1">
      <c r="B96" s="147"/>
      <c r="C96" s="168"/>
      <c r="D96" s="102">
        <f t="shared" si="2"/>
        <v>0.11743944722681347</v>
      </c>
      <c r="E96" s="116" t="s">
        <v>278</v>
      </c>
      <c r="K96" s="147"/>
      <c r="L96" s="168"/>
      <c r="M96" s="116" t="s">
        <v>278</v>
      </c>
      <c r="N96" s="103" t="s">
        <v>279</v>
      </c>
    </row>
    <row r="97" spans="2:14" ht="15.75" thickBot="1">
      <c r="B97" s="147"/>
      <c r="C97" s="169"/>
      <c r="D97" s="102">
        <f t="shared" si="2"/>
        <v>0.13359513837970846</v>
      </c>
      <c r="E97" s="116" t="s">
        <v>280</v>
      </c>
      <c r="K97" s="147"/>
      <c r="L97" s="169"/>
      <c r="M97" s="116" t="s">
        <v>280</v>
      </c>
      <c r="N97" s="103" t="s">
        <v>281</v>
      </c>
    </row>
    <row r="98" spans="2:14" ht="27" thickBot="1">
      <c r="B98" s="148"/>
      <c r="C98" s="128" t="s">
        <v>282</v>
      </c>
      <c r="D98" s="102">
        <f>M98*H74/H72</f>
        <v>0.72274250320665245</v>
      </c>
      <c r="E98" s="127" t="s">
        <v>306</v>
      </c>
      <c r="K98" s="148"/>
      <c r="L98" s="128" t="s">
        <v>282</v>
      </c>
      <c r="M98" s="103" t="s">
        <v>283</v>
      </c>
      <c r="N98" s="127" t="s">
        <v>284</v>
      </c>
    </row>
    <row r="99" spans="2:14" ht="27" thickBot="1">
      <c r="B99" s="170" t="s">
        <v>285</v>
      </c>
      <c r="C99" s="116" t="s">
        <v>286</v>
      </c>
      <c r="D99" s="102" t="s">
        <v>287</v>
      </c>
      <c r="E99" s="127" t="s">
        <v>288</v>
      </c>
      <c r="K99" s="170" t="s">
        <v>285</v>
      </c>
      <c r="L99" s="116" t="s">
        <v>286</v>
      </c>
      <c r="M99" s="103" t="s">
        <v>287</v>
      </c>
      <c r="N99" s="127" t="s">
        <v>288</v>
      </c>
    </row>
    <row r="100" spans="2:14" ht="27" thickBot="1">
      <c r="B100" s="171"/>
      <c r="C100" s="116" t="s">
        <v>289</v>
      </c>
      <c r="D100" s="102" t="s">
        <v>290</v>
      </c>
      <c r="E100" s="127" t="s">
        <v>288</v>
      </c>
      <c r="K100" s="171"/>
      <c r="L100" s="116" t="s">
        <v>289</v>
      </c>
      <c r="M100" s="103" t="s">
        <v>290</v>
      </c>
      <c r="N100" s="127" t="s">
        <v>288</v>
      </c>
    </row>
    <row r="101" spans="2:14" ht="27" thickBot="1">
      <c r="B101" s="171"/>
      <c r="C101" s="116" t="s">
        <v>291</v>
      </c>
      <c r="D101" s="102" t="s">
        <v>292</v>
      </c>
      <c r="E101" s="127" t="s">
        <v>288</v>
      </c>
      <c r="K101" s="171"/>
      <c r="L101" s="116" t="s">
        <v>291</v>
      </c>
      <c r="M101" s="103" t="s">
        <v>292</v>
      </c>
      <c r="N101" s="127" t="s">
        <v>288</v>
      </c>
    </row>
    <row r="102" spans="2:14" ht="27" thickBot="1">
      <c r="B102" s="171"/>
      <c r="C102" s="116" t="s">
        <v>293</v>
      </c>
      <c r="D102" s="102" t="s">
        <v>294</v>
      </c>
      <c r="E102" s="127" t="s">
        <v>288</v>
      </c>
      <c r="K102" s="171"/>
      <c r="L102" s="116" t="s">
        <v>293</v>
      </c>
      <c r="M102" s="103" t="s">
        <v>294</v>
      </c>
      <c r="N102" s="127" t="s">
        <v>288</v>
      </c>
    </row>
    <row r="103" spans="2:14" ht="27" thickBot="1">
      <c r="B103" s="171"/>
      <c r="C103" s="116" t="s">
        <v>295</v>
      </c>
      <c r="D103" s="102">
        <v>11.32</v>
      </c>
      <c r="E103" s="127" t="s">
        <v>296</v>
      </c>
      <c r="K103" s="171"/>
      <c r="L103" s="116" t="s">
        <v>295</v>
      </c>
      <c r="M103" s="103">
        <v>11.32</v>
      </c>
      <c r="N103" s="127" t="s">
        <v>296</v>
      </c>
    </row>
    <row r="104" spans="2:14" ht="27" thickBot="1">
      <c r="B104" s="171"/>
      <c r="C104" s="116" t="s">
        <v>297</v>
      </c>
      <c r="D104" s="129">
        <v>6.3760000000000003</v>
      </c>
      <c r="E104" s="127" t="s">
        <v>296</v>
      </c>
      <c r="K104" s="171"/>
      <c r="L104" s="116" t="s">
        <v>297</v>
      </c>
      <c r="M104" s="130">
        <v>6.3760000000000003</v>
      </c>
      <c r="N104" s="127" t="s">
        <v>296</v>
      </c>
    </row>
    <row r="105" spans="2:14" ht="27" thickBot="1">
      <c r="B105" s="172"/>
      <c r="C105" s="116" t="s">
        <v>298</v>
      </c>
      <c r="D105" s="129">
        <v>17.498000000000001</v>
      </c>
      <c r="E105" s="127" t="s">
        <v>296</v>
      </c>
      <c r="K105" s="172"/>
      <c r="L105" s="116" t="s">
        <v>298</v>
      </c>
      <c r="M105" s="130">
        <v>17.498000000000001</v>
      </c>
      <c r="N105" s="127" t="s">
        <v>296</v>
      </c>
    </row>
    <row r="109" spans="2:14">
      <c r="C109" s="131" t="s">
        <v>971</v>
      </c>
      <c r="D109" s="63">
        <f>H109*1000</f>
        <v>38.9</v>
      </c>
      <c r="E109" s="63" t="s">
        <v>977</v>
      </c>
      <c r="H109" s="63">
        <v>3.8899999999999997E-2</v>
      </c>
    </row>
    <row r="110" spans="2:14">
      <c r="C110" s="131" t="s">
        <v>972</v>
      </c>
      <c r="D110" s="63">
        <f t="shared" ref="D110:D113" si="3">H110*1000</f>
        <v>30.869999999999997</v>
      </c>
      <c r="E110" s="63" t="s">
        <v>977</v>
      </c>
      <c r="H110" s="63">
        <v>3.0869999999999998E-2</v>
      </c>
    </row>
    <row r="111" spans="2:14">
      <c r="C111" s="131" t="s">
        <v>973</v>
      </c>
      <c r="D111" s="63">
        <f t="shared" si="3"/>
        <v>421.6</v>
      </c>
      <c r="E111" s="63" t="s">
        <v>977</v>
      </c>
      <c r="H111" s="63">
        <v>0.42160000000000003</v>
      </c>
    </row>
    <row r="112" spans="2:14">
      <c r="C112" s="131" t="s">
        <v>974</v>
      </c>
      <c r="D112" s="63">
        <f t="shared" si="3"/>
        <v>0.11</v>
      </c>
      <c r="E112" s="63" t="s">
        <v>995</v>
      </c>
      <c r="H112" s="63">
        <v>1.1E-4</v>
      </c>
    </row>
    <row r="113" spans="3:8">
      <c r="C113" s="131" t="s">
        <v>975</v>
      </c>
      <c r="D113" s="63">
        <f t="shared" si="3"/>
        <v>0.27500000000000002</v>
      </c>
      <c r="E113" s="63" t="s">
        <v>995</v>
      </c>
      <c r="H113" s="63">
        <v>2.7500000000000002E-4</v>
      </c>
    </row>
    <row r="116" spans="3:8">
      <c r="C116" s="93" t="s">
        <v>1104</v>
      </c>
      <c r="D116" s="63"/>
    </row>
    <row r="117" spans="3:8">
      <c r="C117" s="63" t="s">
        <v>1106</v>
      </c>
      <c r="D117" s="63">
        <v>0.39500000000000002</v>
      </c>
      <c r="E117" s="63" t="s">
        <v>1105</v>
      </c>
    </row>
  </sheetData>
  <sheetProtection algorithmName="SHA-512" hashValue="QBciXWG9Wfh3lRc/aC9nfZ7ab5LVz/+OUM+1qBZjEYVnp1QOE/JqUcPnBj6kwQ0Nbd286Dvj7QHUoeoyPFAudg==" saltValue="85SEW6imuRu9Vu9G82WVhw==" spinCount="100000" sheet="1" objects="1" scenarios="1"/>
  <mergeCells count="61">
    <mergeCell ref="K93:K98"/>
    <mergeCell ref="L93:L97"/>
    <mergeCell ref="K99:K105"/>
    <mergeCell ref="K71:K91"/>
    <mergeCell ref="A70:E70"/>
    <mergeCell ref="B71:B91"/>
    <mergeCell ref="B93:B98"/>
    <mergeCell ref="C93:C97"/>
    <mergeCell ref="B99:B105"/>
    <mergeCell ref="A1:D1"/>
    <mergeCell ref="A3:A4"/>
    <mergeCell ref="B3:C3"/>
    <mergeCell ref="B4:C4"/>
    <mergeCell ref="B5:C5"/>
    <mergeCell ref="A6:A19"/>
    <mergeCell ref="B6:C6"/>
    <mergeCell ref="B7:B8"/>
    <mergeCell ref="B9:B10"/>
    <mergeCell ref="B11:C11"/>
    <mergeCell ref="A20:A26"/>
    <mergeCell ref="B20:C20"/>
    <mergeCell ref="B21:C21"/>
    <mergeCell ref="B22:C22"/>
    <mergeCell ref="B23:C23"/>
    <mergeCell ref="B24:C24"/>
    <mergeCell ref="B25:C26"/>
    <mergeCell ref="B43:C43"/>
    <mergeCell ref="B44:C44"/>
    <mergeCell ref="B45:C45"/>
    <mergeCell ref="B40:C40"/>
    <mergeCell ref="B12:C12"/>
    <mergeCell ref="B13:C13"/>
    <mergeCell ref="B14:B18"/>
    <mergeCell ref="B19:C19"/>
    <mergeCell ref="B35:C35"/>
    <mergeCell ref="B36:C36"/>
    <mergeCell ref="B37:C37"/>
    <mergeCell ref="B38:C38"/>
    <mergeCell ref="B39:C39"/>
    <mergeCell ref="B47:C47"/>
    <mergeCell ref="B49:B54"/>
    <mergeCell ref="B55:B57"/>
    <mergeCell ref="A48:E48"/>
    <mergeCell ref="A27:A47"/>
    <mergeCell ref="B27:C27"/>
    <mergeCell ref="B28:C28"/>
    <mergeCell ref="B29:C29"/>
    <mergeCell ref="B30:C30"/>
    <mergeCell ref="B31:C31"/>
    <mergeCell ref="B32:C32"/>
    <mergeCell ref="B33:C33"/>
    <mergeCell ref="B34:C34"/>
    <mergeCell ref="B46:C46"/>
    <mergeCell ref="B41:C41"/>
    <mergeCell ref="B42:C42"/>
    <mergeCell ref="K49:K54"/>
    <mergeCell ref="K55:K57"/>
    <mergeCell ref="K58:K65"/>
    <mergeCell ref="K66:K69"/>
    <mergeCell ref="B58:B65"/>
    <mergeCell ref="B66:B6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39</vt:i4>
      </vt:variant>
    </vt:vector>
  </HeadingPairs>
  <TitlesOfParts>
    <vt:vector size="47" baseType="lpstr">
      <vt:lpstr>Presentación</vt:lpstr>
      <vt:lpstr>Huella Minima</vt:lpstr>
      <vt:lpstr>Huella Completa</vt:lpstr>
      <vt:lpstr>Resultados</vt:lpstr>
      <vt:lpstr>Datos_presupuesto</vt:lpstr>
      <vt:lpstr>Calculos 1</vt:lpstr>
      <vt:lpstr>Calculos 2</vt:lpstr>
      <vt:lpstr>Factores de emision</vt:lpstr>
      <vt:lpstr>Autobús</vt:lpstr>
      <vt:lpstr>Avión</vt:lpstr>
      <vt:lpstr>comida</vt:lpstr>
      <vt:lpstr>comidavegetariana</vt:lpstr>
      <vt:lpstr>compensacion</vt:lpstr>
      <vt:lpstr>compensacion_hm</vt:lpstr>
      <vt:lpstr>consumoagua</vt:lpstr>
      <vt:lpstr>Diesel</vt:lpstr>
      <vt:lpstr>edsonido</vt:lpstr>
      <vt:lpstr>edvideo</vt:lpstr>
      <vt:lpstr>efectesp</vt:lpstr>
      <vt:lpstr>efesp</vt:lpstr>
      <vt:lpstr>Elec_hotel1</vt:lpstr>
      <vt:lpstr>Elec_hotel2</vt:lpstr>
      <vt:lpstr>emi_04.01</vt:lpstr>
      <vt:lpstr>emi_04.02</vt:lpstr>
      <vt:lpstr>emi_04.03</vt:lpstr>
      <vt:lpstr>emi_05.03</vt:lpstr>
      <vt:lpstr>emi_06.01</vt:lpstr>
      <vt:lpstr>Foley</vt:lpstr>
      <vt:lpstr>Gasolina</vt:lpstr>
      <vt:lpstr>GLP</vt:lpstr>
      <vt:lpstr>Hotel</vt:lpstr>
      <vt:lpstr>lab</vt:lpstr>
      <vt:lpstr>mixelectrico</vt:lpstr>
      <vt:lpstr>pre_vehiculo</vt:lpstr>
      <vt:lpstr>pre_vehiculo_comp</vt:lpstr>
      <vt:lpstr>presupuesto</vt:lpstr>
      <vt:lpstr>pro_cate_loc</vt:lpstr>
      <vt:lpstr>pro_cate_veg</vt:lpstr>
      <vt:lpstr>pro_con_agua</vt:lpstr>
      <vt:lpstr>pro_distancia</vt:lpstr>
      <vt:lpstr>pro_gen_ele</vt:lpstr>
      <vt:lpstr>pro_ilu_efi</vt:lpstr>
      <vt:lpstr>pro_vehiculo</vt:lpstr>
      <vt:lpstr>pro_vehiculo_comp</vt:lpstr>
      <vt:lpstr>productos_locales</vt:lpstr>
      <vt:lpstr>Titulo</vt:lpstr>
      <vt:lpstr>Tren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administracion</dc:creator>
  <cp:lastModifiedBy>administracion</cp:lastModifiedBy>
  <dcterms:created xsi:type="dcterms:W3CDTF">2018-09-25T11:17:20Z</dcterms:created>
  <dcterms:modified xsi:type="dcterms:W3CDTF">2020-02-06T12:14:37Z</dcterms:modified>
</cp:coreProperties>
</file>